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8700" tabRatio="849" activeTab="1"/>
  </bookViews>
  <sheets>
    <sheet name="A1" sheetId="1" r:id="rId1"/>
    <sheet name="B2" sheetId="2" r:id="rId2"/>
    <sheet name="H1 (1)" sheetId="3" r:id="rId3"/>
    <sheet name="H2" sheetId="4" r:id="rId4"/>
  </sheets>
  <definedNames>
    <definedName name="_xlnm.Print_Area" localSheetId="2">'H1 (1)'!$A$1:$N$18</definedName>
  </definedNames>
  <calcPr fullCalcOnLoad="1"/>
</workbook>
</file>

<file path=xl/sharedStrings.xml><?xml version="1.0" encoding="utf-8"?>
<sst xmlns="http://schemas.openxmlformats.org/spreadsheetml/2006/main" count="308" uniqueCount="173">
  <si>
    <t>Alfa</t>
  </si>
  <si>
    <t>Beta</t>
  </si>
  <si>
    <t>Capacidade instalada</t>
  </si>
  <si>
    <t>Volume orçamentada</t>
  </si>
  <si>
    <t>%</t>
  </si>
  <si>
    <t>% utilização da capacidade</t>
  </si>
  <si>
    <t>Secção Alfa</t>
  </si>
  <si>
    <t>Secção Beta</t>
  </si>
  <si>
    <t>Armazém</t>
  </si>
  <si>
    <t>Manutenção</t>
  </si>
  <si>
    <t>Administração</t>
  </si>
  <si>
    <t>Matérias</t>
  </si>
  <si>
    <t>Outros custos variáveis</t>
  </si>
  <si>
    <t>Utilização das secções:</t>
  </si>
  <si>
    <t>Espaço (m2)</t>
  </si>
  <si>
    <t>Manutenção (%)</t>
  </si>
  <si>
    <t>Administração (%)</t>
  </si>
  <si>
    <t>Armazém (%)</t>
  </si>
  <si>
    <t xml:space="preserve">   Custos variáveis directos</t>
  </si>
  <si>
    <t>Custos variáveis indirectos:</t>
  </si>
  <si>
    <t>Custos variáveis directos:</t>
  </si>
  <si>
    <t>Custos fixos</t>
  </si>
  <si>
    <t>Custo por m2</t>
  </si>
  <si>
    <t xml:space="preserve">   Custos variáveis indirectos</t>
  </si>
  <si>
    <t xml:space="preserve">Mark up </t>
  </si>
  <si>
    <t>Custo variável unitário</t>
  </si>
  <si>
    <t>Custo variável total</t>
  </si>
  <si>
    <t>Questão a)</t>
  </si>
  <si>
    <t>Preço</t>
  </si>
  <si>
    <t>Margem de contribuição unitária</t>
  </si>
  <si>
    <t>Margem de contribuição da encomenda</t>
  </si>
  <si>
    <t>Quantidade</t>
  </si>
  <si>
    <t>Como existe capacidade disponível de 30.000 seria de aceitar a encomenda</t>
  </si>
  <si>
    <t>Admnistração</t>
  </si>
  <si>
    <t>Custo total unitário</t>
  </si>
  <si>
    <t>Usando capacidade instalada:</t>
  </si>
  <si>
    <t>Custo fixo unitário</t>
  </si>
  <si>
    <t>Quais os problemas potenciais no futuro?</t>
  </si>
  <si>
    <t xml:space="preserve">   - Quando a empresa alcançar o limite de produção terá de imputar o custo total</t>
  </si>
  <si>
    <t>Questão b)</t>
  </si>
  <si>
    <t>Proposta de fornecimento</t>
  </si>
  <si>
    <t>Excedente de capacidade</t>
  </si>
  <si>
    <t>Excesso de capacidade inicial</t>
  </si>
  <si>
    <t xml:space="preserve">    Canibalização das vendas normais</t>
  </si>
  <si>
    <t>Preço de venda</t>
  </si>
  <si>
    <t xml:space="preserve">   Custos fixos</t>
  </si>
  <si>
    <t xml:space="preserve">   Custos totais</t>
  </si>
  <si>
    <t>Custo unitário</t>
  </si>
  <si>
    <t>Usando capacidade orçamentada:</t>
  </si>
  <si>
    <t>Margem de contribuição</t>
  </si>
  <si>
    <t xml:space="preserve">Preço de venda </t>
  </si>
  <si>
    <t>Preço de venda normal</t>
  </si>
  <si>
    <t>Margem de contribuição unitária normal</t>
  </si>
  <si>
    <t>Quantidade perdida</t>
  </si>
  <si>
    <t>Canibalização de margem</t>
  </si>
  <si>
    <t>Margem adicional gerada</t>
  </si>
  <si>
    <t>A encomenda dava uma contribuição positiva para os resultados</t>
  </si>
  <si>
    <t>A questão que se podia colocar era o impacto negativo nos clientes que poderia haver pela falta de produtos no mercado</t>
  </si>
  <si>
    <t>Total m2</t>
  </si>
  <si>
    <t>Vendas</t>
  </si>
  <si>
    <t>Total</t>
  </si>
  <si>
    <t>Resultado operacional</t>
  </si>
  <si>
    <t>Unidades vendidas</t>
  </si>
  <si>
    <t>Extracto de fruta</t>
  </si>
  <si>
    <t>Xarope de glucose</t>
  </si>
  <si>
    <t>Pectina</t>
  </si>
  <si>
    <t>Ácido Citrico</t>
  </si>
  <si>
    <t>MOD</t>
  </si>
  <si>
    <t>Q</t>
  </si>
  <si>
    <t>Unidade</t>
  </si>
  <si>
    <t>Kg</t>
  </si>
  <si>
    <t>Hora</t>
  </si>
  <si>
    <t>C.unitário</t>
  </si>
  <si>
    <t>Perda</t>
  </si>
  <si>
    <t>ORÇAMENTO INICIAL</t>
  </si>
  <si>
    <t>REAL</t>
  </si>
  <si>
    <t>TOTAL</t>
  </si>
  <si>
    <t>DESVIOS</t>
  </si>
  <si>
    <t>PREÇO</t>
  </si>
  <si>
    <t>Desvios</t>
  </si>
  <si>
    <t>Mix</t>
  </si>
  <si>
    <t>Perda absoluta</t>
  </si>
  <si>
    <t>A vantagem de usar o orçamento ajustado (ou flexível) é a de permitir comparar a situação actual com o orçamento nas condições de volume actuais e não com o objectivo inicial.</t>
  </si>
  <si>
    <t>Essa análise permite identificar o desvio de volume e o desvio de preço.</t>
  </si>
  <si>
    <t>ORÇAMENTO AJUSTADO</t>
  </si>
  <si>
    <t>QUANTIDADE</t>
  </si>
  <si>
    <t>Real</t>
  </si>
  <si>
    <t>Plástico</t>
  </si>
  <si>
    <t>Orçamento</t>
  </si>
  <si>
    <t>Mogno</t>
  </si>
  <si>
    <t>Em €:</t>
  </si>
  <si>
    <t>Consumo de materiais</t>
  </si>
  <si>
    <t>GGF fixos</t>
  </si>
  <si>
    <t>Comissões</t>
  </si>
  <si>
    <t>GGA</t>
  </si>
  <si>
    <t>Margem de contribuição directa</t>
  </si>
  <si>
    <t>Quota de mercado</t>
  </si>
  <si>
    <t>Vendas (m2 de janela)</t>
  </si>
  <si>
    <t>Mercado (m2)</t>
  </si>
  <si>
    <t>Unidade da empresa (m2)</t>
  </si>
  <si>
    <t>Preço (€/m2)</t>
  </si>
  <si>
    <t>Desvio de mercado</t>
  </si>
  <si>
    <t>Valor</t>
  </si>
  <si>
    <t>Madeira</t>
  </si>
  <si>
    <t xml:space="preserve">   Total de vendas</t>
  </si>
  <si>
    <t>Orç. Ajustado</t>
  </si>
  <si>
    <t>Orçamento ajustado ao volume</t>
  </si>
  <si>
    <t>Orçamento ajustado ao mix</t>
  </si>
  <si>
    <t>Volume</t>
  </si>
  <si>
    <t>Desvio de volume</t>
  </si>
  <si>
    <t>Volume de mercado</t>
  </si>
  <si>
    <t>Ajustamento de  Quota de Mercado</t>
  </si>
  <si>
    <t xml:space="preserve">   Mix</t>
  </si>
  <si>
    <t>Ajustado volume</t>
  </si>
  <si>
    <t>Desvios Plástico</t>
  </si>
  <si>
    <t>Desvios Madeira</t>
  </si>
  <si>
    <t>Ajustado ao mix</t>
  </si>
  <si>
    <t>Desvios totais</t>
  </si>
  <si>
    <t xml:space="preserve">   Preço de venda</t>
  </si>
  <si>
    <t>Margem de contribuição directa %</t>
  </si>
  <si>
    <t>Rendibilidade operacional vendas</t>
  </si>
  <si>
    <t>Mercado:</t>
  </si>
  <si>
    <t>WINDOWS R US</t>
  </si>
  <si>
    <t>DOCES E COMPOTAS - VERSÃO SIMPLIFICADA</t>
  </si>
  <si>
    <t>€</t>
  </si>
  <si>
    <t>Mark up</t>
  </si>
  <si>
    <t>O problema é que o desvio de quantidade inclui o desvio de volume, mix e de eficiência. (Ver Worksheet 2, para uma análise mais completa)</t>
  </si>
  <si>
    <t>Orçamento inicial - quantidade e custo standard</t>
  </si>
  <si>
    <t>Orçamento ajustado - quantidade real mas custo standard</t>
  </si>
  <si>
    <t>Orçamento real - quantidade e custo real</t>
  </si>
  <si>
    <t>Desvio total = Desvio quantidade + Desvio preço</t>
  </si>
  <si>
    <t>Desvio de quantidade = Total ajustado - Total inicial (QrealxPstandard-QstandardxPstandard)</t>
  </si>
  <si>
    <t>Desvio de preço = Total real - Total ajustado (QrealxPreal-QrealxPstandard)</t>
  </si>
  <si>
    <t>ALFA</t>
  </si>
  <si>
    <t>BETA</t>
  </si>
  <si>
    <t>MATÉRIAS</t>
  </si>
  <si>
    <t>O.C.VAR. *</t>
  </si>
  <si>
    <t>CUSTOS Variáveis (Euros)</t>
  </si>
  <si>
    <t>Custo fixo directo</t>
  </si>
  <si>
    <t>GAMA</t>
  </si>
  <si>
    <t>PRODUTOS</t>
  </si>
  <si>
    <t>custos directos unit</t>
  </si>
  <si>
    <t>Custos fixos c/maq (HM por unidade)</t>
  </si>
  <si>
    <t>Gastos gerais (Hh por unidade)</t>
  </si>
  <si>
    <t>Chave de imputação dos Custos Fixos c/ maquinas</t>
  </si>
  <si>
    <t>por Hm</t>
  </si>
  <si>
    <t>Chave de imputação dos Gastos Gerais de Fabrico</t>
  </si>
  <si>
    <t>por Hh</t>
  </si>
  <si>
    <t>CUSTEIO BASEADO EM ACTIVIDADES</t>
  </si>
  <si>
    <t>CUSTOS</t>
  </si>
  <si>
    <t>CF com Máquinas</t>
  </si>
  <si>
    <t>GGF</t>
  </si>
  <si>
    <t>Custos de prep de máq</t>
  </si>
  <si>
    <t>Processamento de ncomendas</t>
  </si>
  <si>
    <t>processamento de compras</t>
  </si>
  <si>
    <t>DRIVERS</t>
  </si>
  <si>
    <t>Horas máquina</t>
  </si>
  <si>
    <t>Horas homem</t>
  </si>
  <si>
    <t>Horas de prep de máquina</t>
  </si>
  <si>
    <t>Ordens de encomenda</t>
  </si>
  <si>
    <t>Fornecimentos</t>
  </si>
  <si>
    <t>valor unit</t>
  </si>
  <si>
    <t>CONSUMOS DE ACTIVIDADES</t>
  </si>
  <si>
    <t>ACTIVIDADES</t>
  </si>
  <si>
    <t>Nº de HH de prep de máquina</t>
  </si>
  <si>
    <t>Fornecimentos recebidos</t>
  </si>
  <si>
    <t>DEMONSTRAÇÃO DE RESULTADOS NA LÓGICA DA ABSORÇÃO DE CUSTOS</t>
  </si>
  <si>
    <t>Proveitos</t>
  </si>
  <si>
    <t>Custos Directos</t>
  </si>
  <si>
    <t>Custos Fixos c/ Máquinas</t>
  </si>
  <si>
    <t>Margem de Contribuição Directa</t>
  </si>
  <si>
    <t>Resultado</t>
  </si>
  <si>
    <t>DEMONSTRAÇÃO DE RESULTADOS NA LÓGICA CBA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</si>
</sst>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%"/>
    <numFmt numFmtId="181" formatCode="#,##0.000\ &quot;€&quot;;[Red]\-#,##0.000\ &quot;€&quot;"/>
    <numFmt numFmtId="182" formatCode="#,##0.0000\ &quot;€&quot;;[Red]\-#,##0.0000\ &quot;€&quot;"/>
    <numFmt numFmtId="183" formatCode="#,##0.00000\ &quot;€&quot;;[Red]\-#,##0.00000\ &quot;€&quot;"/>
    <numFmt numFmtId="184" formatCode="#,##0.0\ &quot;€&quot;;[Red]\-#,##0.0\ &quot;€&quot;"/>
    <numFmt numFmtId="185" formatCode="#,##0.0"/>
    <numFmt numFmtId="186" formatCode="#,##0.000"/>
    <numFmt numFmtId="187" formatCode="#,##0.0000"/>
    <numFmt numFmtId="188" formatCode="#,##0.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;\(#,##0\)"/>
    <numFmt numFmtId="194" formatCode="#,##0.0;\(#,##0.0\)"/>
    <numFmt numFmtId="195" formatCode="#,##0.00;\(#,##0.00\)"/>
    <numFmt numFmtId="196" formatCode="#,##0.000;\(#,##0.000\)"/>
    <numFmt numFmtId="197" formatCode="#,##0.0000;\(#,##0.0000\)"/>
    <numFmt numFmtId="198" formatCode="#,##0.00\ &quot;€&quot;"/>
    <numFmt numFmtId="199" formatCode="#,##0.0\ &quot;€&quot;"/>
    <numFmt numFmtId="200" formatCode="#,##0\ &quot;€&quot;"/>
    <numFmt numFmtId="201" formatCode="0.0"/>
    <numFmt numFmtId="202" formatCode="0.000"/>
    <numFmt numFmtId="203" formatCode="0.000%"/>
    <numFmt numFmtId="204" formatCode="#,##0_ ;[Red]\-#,##0\ "/>
    <numFmt numFmtId="205" formatCode="#,##0.000_ ;[Red]\-#,##0.000\ "/>
    <numFmt numFmtId="206" formatCode="#,##0.000\ &quot;€&quot;"/>
    <numFmt numFmtId="207" formatCode="#,##0.00000;\(#,##0.00000\)"/>
    <numFmt numFmtId="208" formatCode="0.0000"/>
    <numFmt numFmtId="209" formatCode="0.000000"/>
  </numFmts>
  <fonts count="46">
    <font>
      <sz val="10"/>
      <name val="Arial Narrow"/>
      <family val="2"/>
    </font>
    <font>
      <sz val="10"/>
      <name val="Arial"/>
      <family val="0"/>
    </font>
    <font>
      <b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sz val="10"/>
      <color indexed="12"/>
      <name val="Arial Narrow"/>
      <family val="2"/>
    </font>
    <font>
      <b/>
      <sz val="14"/>
      <color indexed="10"/>
      <name val="Arial Narrow"/>
      <family val="2"/>
    </font>
    <font>
      <u val="single"/>
      <sz val="10"/>
      <color indexed="12"/>
      <name val="Arial Narrow"/>
      <family val="2"/>
    </font>
    <font>
      <u val="single"/>
      <sz val="10"/>
      <color indexed="36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19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4">
    <xf numFmtId="193" fontId="0" fillId="0" borderId="0" xfId="0" applyAlignment="1">
      <alignment/>
    </xf>
    <xf numFmtId="193" fontId="0" fillId="0" borderId="0" xfId="0" applyAlignment="1">
      <alignment horizontal="center"/>
    </xf>
    <xf numFmtId="9" fontId="0" fillId="0" borderId="0" xfId="59" applyFont="1" applyAlignment="1">
      <alignment/>
    </xf>
    <xf numFmtId="180" fontId="0" fillId="0" borderId="0" xfId="59" applyNumberFormat="1" applyFont="1" applyAlignment="1">
      <alignment/>
    </xf>
    <xf numFmtId="8" fontId="0" fillId="0" borderId="0" xfId="44" applyNumberFormat="1" applyFont="1" applyAlignment="1">
      <alignment/>
    </xf>
    <xf numFmtId="181" fontId="0" fillId="0" borderId="0" xfId="44" applyNumberFormat="1" applyFont="1" applyAlignment="1">
      <alignment/>
    </xf>
    <xf numFmtId="8" fontId="0" fillId="0" borderId="0" xfId="44" applyNumberFormat="1" applyFont="1" applyBorder="1" applyAlignment="1">
      <alignment/>
    </xf>
    <xf numFmtId="193" fontId="0" fillId="0" borderId="0" xfId="0" applyBorder="1" applyAlignment="1">
      <alignment/>
    </xf>
    <xf numFmtId="9" fontId="0" fillId="0" borderId="0" xfId="59" applyFont="1" applyBorder="1" applyAlignment="1">
      <alignment/>
    </xf>
    <xf numFmtId="193" fontId="2" fillId="0" borderId="0" xfId="0" applyFont="1" applyAlignment="1">
      <alignment/>
    </xf>
    <xf numFmtId="193" fontId="3" fillId="0" borderId="0" xfId="0" applyFont="1" applyAlignment="1">
      <alignment/>
    </xf>
    <xf numFmtId="193" fontId="2" fillId="0" borderId="0" xfId="0" applyFont="1" applyAlignment="1">
      <alignment horizontal="center"/>
    </xf>
    <xf numFmtId="193" fontId="0" fillId="0" borderId="10" xfId="0" applyFill="1" applyBorder="1" applyAlignment="1">
      <alignment horizontal="center"/>
    </xf>
    <xf numFmtId="193" fontId="0" fillId="0" borderId="11" xfId="0" applyFill="1" applyBorder="1" applyAlignment="1">
      <alignment/>
    </xf>
    <xf numFmtId="193" fontId="0" fillId="0" borderId="10" xfId="0" applyFill="1" applyBorder="1" applyAlignment="1">
      <alignment/>
    </xf>
    <xf numFmtId="193" fontId="0" fillId="0" borderId="0" xfId="0" applyFill="1" applyBorder="1" applyAlignment="1">
      <alignment/>
    </xf>
    <xf numFmtId="193" fontId="0" fillId="0" borderId="12" xfId="0" applyFill="1" applyBorder="1" applyAlignment="1">
      <alignment/>
    </xf>
    <xf numFmtId="193" fontId="6" fillId="0" borderId="0" xfId="0" applyFont="1" applyAlignment="1">
      <alignment/>
    </xf>
    <xf numFmtId="198" fontId="0" fillId="0" borderId="0" xfId="0" applyNumberFormat="1" applyAlignment="1">
      <alignment/>
    </xf>
    <xf numFmtId="193" fontId="0" fillId="0" borderId="0" xfId="0" applyFont="1" applyAlignment="1">
      <alignment/>
    </xf>
    <xf numFmtId="198" fontId="0" fillId="0" borderId="0" xfId="0" applyNumberFormat="1" applyFill="1" applyBorder="1" applyAlignment="1">
      <alignment/>
    </xf>
    <xf numFmtId="193" fontId="2" fillId="0" borderId="11" xfId="0" applyFont="1" applyFill="1" applyBorder="1" applyAlignment="1">
      <alignment/>
    </xf>
    <xf numFmtId="193" fontId="0" fillId="0" borderId="0" xfId="0" applyFill="1" applyBorder="1" applyAlignment="1">
      <alignment horizontal="left" indent="1"/>
    </xf>
    <xf numFmtId="195" fontId="0" fillId="0" borderId="0" xfId="0" applyNumberFormat="1" applyAlignment="1">
      <alignment/>
    </xf>
    <xf numFmtId="206" fontId="0" fillId="0" borderId="0" xfId="0" applyNumberFormat="1" applyAlignment="1">
      <alignment/>
    </xf>
    <xf numFmtId="193" fontId="0" fillId="0" borderId="0" xfId="0" applyFill="1" applyBorder="1" applyAlignment="1">
      <alignment horizontal="center"/>
    </xf>
    <xf numFmtId="206" fontId="0" fillId="0" borderId="0" xfId="0" applyNumberFormat="1" applyFill="1" applyBorder="1" applyAlignment="1">
      <alignment/>
    </xf>
    <xf numFmtId="193" fontId="0" fillId="0" borderId="11" xfId="0" applyFill="1" applyBorder="1" applyAlignment="1">
      <alignment horizontal="center"/>
    </xf>
    <xf numFmtId="206" fontId="0" fillId="0" borderId="12" xfId="0" applyNumberFormat="1" applyFill="1" applyBorder="1" applyAlignment="1">
      <alignment/>
    </xf>
    <xf numFmtId="193" fontId="0" fillId="0" borderId="13" xfId="0" applyFill="1" applyBorder="1" applyAlignment="1">
      <alignment horizontal="center"/>
    </xf>
    <xf numFmtId="193" fontId="0" fillId="0" borderId="14" xfId="0" applyFill="1" applyBorder="1" applyAlignment="1">
      <alignment horizontal="center"/>
    </xf>
    <xf numFmtId="193" fontId="0" fillId="0" borderId="15" xfId="0" applyFill="1" applyBorder="1" applyAlignment="1">
      <alignment/>
    </xf>
    <xf numFmtId="198" fontId="0" fillId="0" borderId="16" xfId="0" applyNumberFormat="1" applyFill="1" applyBorder="1" applyAlignment="1">
      <alignment/>
    </xf>
    <xf numFmtId="193" fontId="0" fillId="0" borderId="17" xfId="0" applyFill="1" applyBorder="1" applyAlignment="1">
      <alignment/>
    </xf>
    <xf numFmtId="198" fontId="0" fillId="0" borderId="18" xfId="0" applyNumberFormat="1" applyFill="1" applyBorder="1" applyAlignment="1">
      <alignment/>
    </xf>
    <xf numFmtId="198" fontId="0" fillId="0" borderId="15" xfId="0" applyNumberFormat="1" applyFill="1" applyBorder="1" applyAlignment="1">
      <alignment/>
    </xf>
    <xf numFmtId="193" fontId="0" fillId="0" borderId="19" xfId="0" applyFill="1" applyBorder="1" applyAlignment="1">
      <alignment/>
    </xf>
    <xf numFmtId="193" fontId="0" fillId="0" borderId="20" xfId="0" applyFill="1" applyBorder="1" applyAlignment="1">
      <alignment/>
    </xf>
    <xf numFmtId="193" fontId="0" fillId="0" borderId="21" xfId="0" applyFill="1" applyBorder="1" applyAlignment="1">
      <alignment/>
    </xf>
    <xf numFmtId="193" fontId="0" fillId="0" borderId="22" xfId="0" applyFill="1" applyBorder="1" applyAlignment="1">
      <alignment/>
    </xf>
    <xf numFmtId="193" fontId="0" fillId="0" borderId="12" xfId="0" applyFill="1" applyBorder="1" applyAlignment="1">
      <alignment horizontal="center"/>
    </xf>
    <xf numFmtId="195" fontId="5" fillId="0" borderId="15" xfId="0" applyNumberFormat="1" applyFont="1" applyFill="1" applyBorder="1" applyAlignment="1">
      <alignment/>
    </xf>
    <xf numFmtId="195" fontId="0" fillId="0" borderId="15" xfId="0" applyNumberFormat="1" applyFill="1" applyBorder="1" applyAlignment="1">
      <alignment/>
    </xf>
    <xf numFmtId="180" fontId="0" fillId="0" borderId="0" xfId="59" applyNumberFormat="1" applyFont="1" applyAlignment="1">
      <alignment/>
    </xf>
    <xf numFmtId="193" fontId="4" fillId="0" borderId="0" xfId="0" applyFont="1" applyAlignment="1">
      <alignment/>
    </xf>
    <xf numFmtId="193" fontId="0" fillId="0" borderId="11" xfId="0" applyFill="1" applyBorder="1" applyAlignment="1">
      <alignment horizontal="center" wrapText="1"/>
    </xf>
    <xf numFmtId="198" fontId="0" fillId="0" borderId="12" xfId="0" applyNumberFormat="1" applyFill="1" applyBorder="1" applyAlignment="1">
      <alignment/>
    </xf>
    <xf numFmtId="193" fontId="0" fillId="0" borderId="23" xfId="0" applyFill="1" applyBorder="1" applyAlignment="1">
      <alignment/>
    </xf>
    <xf numFmtId="193" fontId="2" fillId="0" borderId="0" xfId="0" applyFont="1" applyFill="1" applyBorder="1" applyAlignment="1">
      <alignment horizontal="left"/>
    </xf>
    <xf numFmtId="193" fontId="2" fillId="0" borderId="11" xfId="0" applyFont="1" applyFill="1" applyBorder="1" applyAlignment="1">
      <alignment horizontal="center"/>
    </xf>
    <xf numFmtId="193" fontId="0" fillId="0" borderId="24" xfId="0" applyFill="1" applyBorder="1" applyAlignment="1">
      <alignment/>
    </xf>
    <xf numFmtId="193" fontId="0" fillId="0" borderId="14" xfId="0" applyFill="1" applyBorder="1" applyAlignment="1">
      <alignment/>
    </xf>
    <xf numFmtId="193" fontId="0" fillId="0" borderId="0" xfId="0" applyFont="1" applyFill="1" applyBorder="1" applyAlignment="1">
      <alignment horizontal="left"/>
    </xf>
    <xf numFmtId="193" fontId="2" fillId="0" borderId="0" xfId="0" applyFont="1" applyFill="1" applyBorder="1" applyAlignment="1">
      <alignment horizontal="center"/>
    </xf>
    <xf numFmtId="180" fontId="0" fillId="0" borderId="0" xfId="59" applyNumberFormat="1" applyFont="1" applyFill="1" applyBorder="1" applyAlignment="1">
      <alignment/>
    </xf>
    <xf numFmtId="198" fontId="0" fillId="0" borderId="0" xfId="0" applyNumberFormat="1" applyFill="1" applyBorder="1" applyAlignment="1">
      <alignment/>
    </xf>
    <xf numFmtId="200" fontId="0" fillId="0" borderId="0" xfId="0" applyNumberFormat="1" applyFill="1" applyBorder="1" applyAlignment="1">
      <alignment/>
    </xf>
    <xf numFmtId="198" fontId="0" fillId="0" borderId="12" xfId="0" applyNumberFormat="1" applyFill="1" applyBorder="1" applyAlignment="1">
      <alignment/>
    </xf>
    <xf numFmtId="200" fontId="0" fillId="0" borderId="12" xfId="0" applyNumberFormat="1" applyFill="1" applyBorder="1" applyAlignment="1">
      <alignment/>
    </xf>
    <xf numFmtId="193" fontId="2" fillId="0" borderId="13" xfId="0" applyFont="1" applyFill="1" applyBorder="1" applyAlignment="1">
      <alignment horizontal="center"/>
    </xf>
    <xf numFmtId="193" fontId="2" fillId="0" borderId="14" xfId="0" applyFont="1" applyFill="1" applyBorder="1" applyAlignment="1">
      <alignment horizontal="center"/>
    </xf>
    <xf numFmtId="193" fontId="0" fillId="0" borderId="15" xfId="0" applyFill="1" applyBorder="1" applyAlignment="1">
      <alignment/>
    </xf>
    <xf numFmtId="200" fontId="0" fillId="0" borderId="16" xfId="0" applyNumberFormat="1" applyFill="1" applyBorder="1" applyAlignment="1">
      <alignment/>
    </xf>
    <xf numFmtId="193" fontId="0" fillId="0" borderId="17" xfId="0" applyFill="1" applyBorder="1" applyAlignment="1">
      <alignment/>
    </xf>
    <xf numFmtId="200" fontId="0" fillId="0" borderId="18" xfId="0" applyNumberFormat="1" applyFill="1" applyBorder="1" applyAlignment="1">
      <alignment/>
    </xf>
    <xf numFmtId="193" fontId="0" fillId="0" borderId="21" xfId="0" applyFill="1" applyBorder="1" applyAlignment="1">
      <alignment horizontal="left"/>
    </xf>
    <xf numFmtId="193" fontId="2" fillId="0" borderId="22" xfId="0" applyFont="1" applyFill="1" applyBorder="1" applyAlignment="1">
      <alignment horizontal="left"/>
    </xf>
    <xf numFmtId="193" fontId="2" fillId="0" borderId="25" xfId="0" applyFont="1" applyFill="1" applyBorder="1" applyAlignment="1">
      <alignment horizontal="center"/>
    </xf>
    <xf numFmtId="193" fontId="0" fillId="0" borderId="11" xfId="0" applyFont="1" applyFill="1" applyBorder="1" applyAlignment="1">
      <alignment horizontal="left"/>
    </xf>
    <xf numFmtId="193" fontId="0" fillId="0" borderId="12" xfId="0" applyFont="1" applyFill="1" applyBorder="1" applyAlignment="1">
      <alignment horizontal="left"/>
    </xf>
    <xf numFmtId="193" fontId="2" fillId="0" borderId="26" xfId="0" applyFont="1" applyFill="1" applyBorder="1" applyAlignment="1">
      <alignment horizontal="center" wrapText="1"/>
    </xf>
    <xf numFmtId="193" fontId="0" fillId="0" borderId="16" xfId="0" applyFill="1" applyBorder="1" applyAlignment="1">
      <alignment/>
    </xf>
    <xf numFmtId="180" fontId="0" fillId="0" borderId="15" xfId="59" applyNumberFormat="1" applyFont="1" applyFill="1" applyBorder="1" applyAlignment="1">
      <alignment/>
    </xf>
    <xf numFmtId="180" fontId="0" fillId="0" borderId="16" xfId="59" applyNumberFormat="1" applyFont="1" applyFill="1" applyBorder="1" applyAlignment="1">
      <alignment/>
    </xf>
    <xf numFmtId="193" fontId="0" fillId="0" borderId="13" xfId="0" applyFill="1" applyBorder="1" applyAlignment="1">
      <alignment/>
    </xf>
    <xf numFmtId="193" fontId="0" fillId="0" borderId="18" xfId="0" applyFill="1" applyBorder="1" applyAlignment="1">
      <alignment/>
    </xf>
    <xf numFmtId="193" fontId="2" fillId="0" borderId="27" xfId="0" applyFont="1" applyFill="1" applyBorder="1" applyAlignment="1">
      <alignment horizontal="center" wrapText="1"/>
    </xf>
    <xf numFmtId="193" fontId="2" fillId="0" borderId="28" xfId="0" applyFont="1" applyFill="1" applyBorder="1" applyAlignment="1">
      <alignment horizontal="center"/>
    </xf>
    <xf numFmtId="193" fontId="2" fillId="0" borderId="20" xfId="0" applyFont="1" applyFill="1" applyBorder="1" applyAlignment="1">
      <alignment horizontal="left"/>
    </xf>
    <xf numFmtId="193" fontId="0" fillId="0" borderId="23" xfId="0" applyFont="1" applyFill="1" applyBorder="1" applyAlignment="1">
      <alignment horizontal="left"/>
    </xf>
    <xf numFmtId="193" fontId="0" fillId="0" borderId="26" xfId="0" applyFont="1" applyFill="1" applyBorder="1" applyAlignment="1">
      <alignment horizontal="left"/>
    </xf>
    <xf numFmtId="193" fontId="2" fillId="0" borderId="11" xfId="0" applyFont="1" applyFill="1" applyBorder="1" applyAlignment="1">
      <alignment horizontal="center" wrapText="1"/>
    </xf>
    <xf numFmtId="9" fontId="0" fillId="0" borderId="0" xfId="59" applyFont="1" applyFill="1" applyBorder="1" applyAlignment="1">
      <alignment/>
    </xf>
    <xf numFmtId="193" fontId="0" fillId="0" borderId="29" xfId="0" applyFill="1" applyBorder="1" applyAlignment="1">
      <alignment wrapText="1"/>
    </xf>
    <xf numFmtId="193" fontId="0" fillId="0" borderId="20" xfId="0" applyFont="1" applyFill="1" applyBorder="1" applyAlignment="1">
      <alignment horizontal="left"/>
    </xf>
    <xf numFmtId="193" fontId="0" fillId="0" borderId="21" xfId="0" applyFill="1" applyBorder="1" applyAlignment="1">
      <alignment horizontal="left" indent="1"/>
    </xf>
    <xf numFmtId="193" fontId="0" fillId="0" borderId="22" xfId="0" applyFont="1" applyFill="1" applyBorder="1" applyAlignment="1">
      <alignment horizontal="left" indent="1"/>
    </xf>
    <xf numFmtId="193" fontId="2" fillId="0" borderId="21" xfId="0" applyFont="1" applyFill="1" applyBorder="1" applyAlignment="1">
      <alignment horizontal="left"/>
    </xf>
    <xf numFmtId="193" fontId="0" fillId="0" borderId="22" xfId="0" applyFont="1" applyFill="1" applyBorder="1" applyAlignment="1">
      <alignment horizontal="left"/>
    </xf>
    <xf numFmtId="193" fontId="2" fillId="0" borderId="13" xfId="0" applyFont="1" applyFill="1" applyBorder="1" applyAlignment="1">
      <alignment horizontal="center" wrapText="1"/>
    </xf>
    <xf numFmtId="193" fontId="2" fillId="0" borderId="14" xfId="0" applyFont="1" applyFill="1" applyBorder="1" applyAlignment="1">
      <alignment horizontal="center" wrapText="1"/>
    </xf>
    <xf numFmtId="198" fontId="0" fillId="0" borderId="17" xfId="0" applyNumberFormat="1" applyFill="1" applyBorder="1" applyAlignment="1">
      <alignment/>
    </xf>
    <xf numFmtId="198" fontId="0" fillId="0" borderId="18" xfId="0" applyNumberFormat="1" applyFill="1" applyBorder="1" applyAlignment="1">
      <alignment/>
    </xf>
    <xf numFmtId="9" fontId="0" fillId="0" borderId="15" xfId="59" applyFont="1" applyFill="1" applyBorder="1" applyAlignment="1">
      <alignment/>
    </xf>
    <xf numFmtId="9" fontId="0" fillId="0" borderId="16" xfId="59" applyFont="1" applyFill="1" applyBorder="1" applyAlignment="1">
      <alignment/>
    </xf>
    <xf numFmtId="193" fontId="0" fillId="0" borderId="30" xfId="0" applyFill="1" applyBorder="1" applyAlignment="1">
      <alignment/>
    </xf>
    <xf numFmtId="198" fontId="0" fillId="0" borderId="26" xfId="59" applyNumberFormat="1" applyFont="1" applyFill="1" applyBorder="1" applyAlignment="1">
      <alignment/>
    </xf>
    <xf numFmtId="193" fontId="0" fillId="0" borderId="10" xfId="0" applyFont="1" applyBorder="1" applyAlignment="1">
      <alignment/>
    </xf>
    <xf numFmtId="9" fontId="0" fillId="0" borderId="10" xfId="59" applyFont="1" applyBorder="1" applyAlignment="1">
      <alignment/>
    </xf>
    <xf numFmtId="193" fontId="0" fillId="0" borderId="31" xfId="0" applyFont="1" applyBorder="1" applyAlignment="1">
      <alignment/>
    </xf>
    <xf numFmtId="9" fontId="0" fillId="0" borderId="31" xfId="59" applyFont="1" applyBorder="1" applyAlignment="1">
      <alignment/>
    </xf>
    <xf numFmtId="180" fontId="2" fillId="0" borderId="0" xfId="59" applyNumberFormat="1" applyFont="1" applyFill="1" applyBorder="1" applyAlignment="1">
      <alignment/>
    </xf>
    <xf numFmtId="193" fontId="0" fillId="0" borderId="21" xfId="0" applyBorder="1" applyAlignment="1">
      <alignment/>
    </xf>
    <xf numFmtId="2" fontId="0" fillId="0" borderId="0" xfId="0" applyNumberFormat="1" applyAlignment="1">
      <alignment/>
    </xf>
    <xf numFmtId="193" fontId="0" fillId="0" borderId="20" xfId="0" applyBorder="1" applyAlignment="1">
      <alignment/>
    </xf>
    <xf numFmtId="193" fontId="2" fillId="0" borderId="32" xfId="0" applyFont="1" applyBorder="1" applyAlignment="1">
      <alignment/>
    </xf>
    <xf numFmtId="193" fontId="0" fillId="0" borderId="33" xfId="0" applyBorder="1" applyAlignment="1">
      <alignment/>
    </xf>
    <xf numFmtId="193" fontId="0" fillId="0" borderId="34" xfId="0" applyBorder="1" applyAlignment="1">
      <alignment/>
    </xf>
    <xf numFmtId="193" fontId="0" fillId="0" borderId="22" xfId="0" applyBorder="1" applyAlignment="1">
      <alignment/>
    </xf>
    <xf numFmtId="193" fontId="0" fillId="0" borderId="35" xfId="0" applyBorder="1" applyAlignment="1">
      <alignment/>
    </xf>
    <xf numFmtId="180" fontId="0" fillId="0" borderId="20" xfId="59" applyNumberFormat="1" applyFont="1" applyBorder="1" applyAlignment="1">
      <alignment/>
    </xf>
    <xf numFmtId="180" fontId="0" fillId="0" borderId="34" xfId="59" applyNumberFormat="1" applyFont="1" applyBorder="1" applyAlignment="1">
      <alignment/>
    </xf>
    <xf numFmtId="193" fontId="2" fillId="0" borderId="0" xfId="0" applyFont="1" applyBorder="1" applyAlignment="1">
      <alignment horizontal="center"/>
    </xf>
    <xf numFmtId="193" fontId="2" fillId="0" borderId="0" xfId="0" applyFont="1" applyBorder="1" applyAlignment="1">
      <alignment/>
    </xf>
    <xf numFmtId="193" fontId="0" fillId="0" borderId="29" xfId="0" applyBorder="1" applyAlignment="1">
      <alignment/>
    </xf>
    <xf numFmtId="9" fontId="0" fillId="0" borderId="20" xfId="59" applyFont="1" applyBorder="1" applyAlignment="1">
      <alignment/>
    </xf>
    <xf numFmtId="193" fontId="0" fillId="0" borderId="36" xfId="0" applyBorder="1" applyAlignment="1">
      <alignment/>
    </xf>
    <xf numFmtId="193" fontId="0" fillId="0" borderId="37" xfId="0" applyBorder="1" applyAlignment="1">
      <alignment/>
    </xf>
    <xf numFmtId="193" fontId="2" fillId="0" borderId="38" xfId="0" applyFont="1" applyFill="1" applyBorder="1" applyAlignment="1">
      <alignment horizontal="center"/>
    </xf>
    <xf numFmtId="193" fontId="0" fillId="0" borderId="36" xfId="0" applyFill="1" applyBorder="1" applyAlignment="1">
      <alignment horizontal="left"/>
    </xf>
    <xf numFmtId="200" fontId="0" fillId="0" borderId="39" xfId="0" applyNumberFormat="1" applyFill="1" applyBorder="1" applyAlignment="1">
      <alignment/>
    </xf>
    <xf numFmtId="193" fontId="2" fillId="0" borderId="40" xfId="0" applyFont="1" applyFill="1" applyBorder="1" applyAlignment="1">
      <alignment horizontal="left"/>
    </xf>
    <xf numFmtId="200" fontId="0" fillId="0" borderId="41" xfId="0" applyNumberFormat="1" applyFill="1" applyBorder="1" applyAlignment="1">
      <alignment/>
    </xf>
    <xf numFmtId="193" fontId="2" fillId="0" borderId="42" xfId="0" applyFont="1" applyBorder="1" applyAlignment="1">
      <alignment/>
    </xf>
    <xf numFmtId="193" fontId="0" fillId="0" borderId="31" xfId="0" applyBorder="1" applyAlignment="1">
      <alignment/>
    </xf>
    <xf numFmtId="193" fontId="0" fillId="0" borderId="43" xfId="0" applyBorder="1" applyAlignment="1">
      <alignment/>
    </xf>
    <xf numFmtId="193" fontId="0" fillId="0" borderId="44" xfId="0" applyBorder="1" applyAlignment="1">
      <alignment/>
    </xf>
    <xf numFmtId="193" fontId="2" fillId="0" borderId="45" xfId="0" applyFont="1" applyFill="1" applyBorder="1" applyAlignment="1">
      <alignment horizontal="center"/>
    </xf>
    <xf numFmtId="193" fontId="2" fillId="0" borderId="39" xfId="0" applyFont="1" applyFill="1" applyBorder="1" applyAlignment="1">
      <alignment horizontal="center"/>
    </xf>
    <xf numFmtId="200" fontId="0" fillId="0" borderId="46" xfId="0" applyNumberFormat="1" applyFill="1" applyBorder="1" applyAlignment="1">
      <alignment/>
    </xf>
    <xf numFmtId="180" fontId="0" fillId="0" borderId="39" xfId="59" applyNumberFormat="1" applyFont="1" applyBorder="1" applyAlignment="1">
      <alignment/>
    </xf>
    <xf numFmtId="200" fontId="0" fillId="0" borderId="47" xfId="0" applyNumberFormat="1" applyFill="1" applyBorder="1" applyAlignment="1">
      <alignment/>
    </xf>
    <xf numFmtId="193" fontId="0" fillId="0" borderId="39" xfId="0" applyBorder="1" applyAlignment="1">
      <alignment/>
    </xf>
    <xf numFmtId="180" fontId="0" fillId="0" borderId="42" xfId="59" applyNumberFormat="1" applyFont="1" applyBorder="1" applyAlignment="1">
      <alignment/>
    </xf>
    <xf numFmtId="180" fontId="0" fillId="0" borderId="31" xfId="59" applyNumberFormat="1" applyFont="1" applyBorder="1" applyAlignment="1">
      <alignment/>
    </xf>
    <xf numFmtId="193" fontId="2" fillId="0" borderId="48" xfId="0" applyFont="1" applyBorder="1" applyAlignment="1">
      <alignment horizontal="center"/>
    </xf>
    <xf numFmtId="8" fontId="0" fillId="0" borderId="20" xfId="44" applyNumberFormat="1" applyFont="1" applyBorder="1" applyAlignment="1">
      <alignment/>
    </xf>
    <xf numFmtId="8" fontId="0" fillId="33" borderId="20" xfId="44" applyNumberFormat="1" applyFont="1" applyFill="1" applyBorder="1" applyAlignment="1">
      <alignment/>
    </xf>
    <xf numFmtId="193" fontId="0" fillId="33" borderId="20" xfId="0" applyFill="1" applyBorder="1" applyAlignment="1">
      <alignment/>
    </xf>
    <xf numFmtId="193" fontId="2" fillId="0" borderId="20" xfId="0" applyFont="1" applyBorder="1" applyAlignment="1">
      <alignment horizontal="center"/>
    </xf>
    <xf numFmtId="9" fontId="0" fillId="0" borderId="20" xfId="44" applyNumberFormat="1" applyFont="1" applyBorder="1" applyAlignment="1">
      <alignment/>
    </xf>
    <xf numFmtId="8" fontId="0" fillId="0" borderId="0" xfId="44" applyNumberFormat="1" applyFont="1" applyAlignment="1">
      <alignment horizontal="center"/>
    </xf>
    <xf numFmtId="193" fontId="2" fillId="0" borderId="0" xfId="0" applyFont="1" applyAlignment="1">
      <alignment horizontal="left"/>
    </xf>
    <xf numFmtId="193" fontId="2" fillId="0" borderId="42" xfId="0" applyFont="1" applyBorder="1" applyAlignment="1">
      <alignment horizontal="center"/>
    </xf>
    <xf numFmtId="193" fontId="2" fillId="0" borderId="49" xfId="0" applyFont="1" applyBorder="1" applyAlignment="1">
      <alignment horizontal="center"/>
    </xf>
    <xf numFmtId="9" fontId="0" fillId="0" borderId="39" xfId="59" applyFont="1" applyBorder="1" applyAlignment="1">
      <alignment/>
    </xf>
    <xf numFmtId="193" fontId="0" fillId="0" borderId="46" xfId="0" applyBorder="1" applyAlignment="1">
      <alignment/>
    </xf>
    <xf numFmtId="193" fontId="0" fillId="0" borderId="42" xfId="0" applyBorder="1" applyAlignment="1">
      <alignment/>
    </xf>
    <xf numFmtId="9" fontId="0" fillId="0" borderId="50" xfId="59" applyFont="1" applyBorder="1" applyAlignment="1">
      <alignment/>
    </xf>
    <xf numFmtId="9" fontId="0" fillId="0" borderId="19" xfId="59" applyFont="1" applyBorder="1" applyAlignment="1">
      <alignment/>
    </xf>
    <xf numFmtId="193" fontId="0" fillId="0" borderId="51" xfId="0" applyBorder="1" applyAlignment="1">
      <alignment/>
    </xf>
    <xf numFmtId="9" fontId="0" fillId="0" borderId="36" xfId="59" applyFont="1" applyBorder="1" applyAlignment="1">
      <alignment/>
    </xf>
    <xf numFmtId="9" fontId="0" fillId="0" borderId="21" xfId="59" applyFont="1" applyBorder="1" applyAlignment="1">
      <alignment/>
    </xf>
    <xf numFmtId="9" fontId="0" fillId="0" borderId="37" xfId="59" applyFont="1" applyBorder="1" applyAlignment="1">
      <alignment/>
    </xf>
    <xf numFmtId="8" fontId="0" fillId="0" borderId="37" xfId="44" applyNumberFormat="1" applyFont="1" applyBorder="1" applyAlignment="1">
      <alignment/>
    </xf>
    <xf numFmtId="193" fontId="0" fillId="0" borderId="52" xfId="0" applyBorder="1" applyAlignment="1">
      <alignment/>
    </xf>
    <xf numFmtId="193" fontId="0" fillId="0" borderId="53" xfId="0" applyBorder="1" applyAlignment="1">
      <alignment/>
    </xf>
    <xf numFmtId="181" fontId="0" fillId="33" borderId="54" xfId="44" applyNumberFormat="1" applyFont="1" applyFill="1" applyBorder="1" applyAlignment="1">
      <alignment/>
    </xf>
    <xf numFmtId="193" fontId="11" fillId="0" borderId="48" xfId="0" applyFont="1" applyBorder="1" applyAlignment="1">
      <alignment vertical="top" wrapText="1"/>
    </xf>
    <xf numFmtId="193" fontId="10" fillId="0" borderId="49" xfId="0" applyFont="1" applyBorder="1" applyAlignment="1">
      <alignment vertical="top" wrapText="1"/>
    </xf>
    <xf numFmtId="193" fontId="10" fillId="0" borderId="43" xfId="0" applyFont="1" applyBorder="1" applyAlignment="1">
      <alignment horizontal="right" vertical="top" wrapText="1"/>
    </xf>
    <xf numFmtId="193" fontId="10" fillId="0" borderId="32" xfId="0" applyFont="1" applyBorder="1" applyAlignment="1">
      <alignment horizontal="right" vertical="top" wrapText="1"/>
    </xf>
    <xf numFmtId="193" fontId="10" fillId="0" borderId="29" xfId="0" applyFont="1" applyBorder="1" applyAlignment="1">
      <alignment horizontal="right" vertical="top" wrapText="1"/>
    </xf>
    <xf numFmtId="193" fontId="10" fillId="0" borderId="55" xfId="0" applyFont="1" applyBorder="1" applyAlignment="1">
      <alignment horizontal="right" vertical="top" wrapText="1"/>
    </xf>
    <xf numFmtId="193" fontId="10" fillId="0" borderId="40" xfId="0" applyFont="1" applyBorder="1" applyAlignment="1">
      <alignment horizontal="right" vertical="top" wrapText="1"/>
    </xf>
    <xf numFmtId="193" fontId="10" fillId="0" borderId="22" xfId="0" applyFont="1" applyBorder="1" applyAlignment="1">
      <alignment horizontal="right" vertical="top" wrapText="1"/>
    </xf>
    <xf numFmtId="193" fontId="10" fillId="0" borderId="35" xfId="0" applyFont="1" applyBorder="1" applyAlignment="1">
      <alignment horizontal="right" vertical="top" wrapText="1"/>
    </xf>
    <xf numFmtId="193" fontId="0" fillId="34" borderId="0" xfId="0" applyFill="1" applyBorder="1" applyAlignment="1">
      <alignment horizontal="center"/>
    </xf>
    <xf numFmtId="193" fontId="0" fillId="34" borderId="0" xfId="0" applyFill="1" applyBorder="1" applyAlignment="1">
      <alignment/>
    </xf>
    <xf numFmtId="193" fontId="0" fillId="34" borderId="0" xfId="0" applyFill="1" applyAlignment="1">
      <alignment/>
    </xf>
    <xf numFmtId="193" fontId="10" fillId="34" borderId="46" xfId="0" applyFont="1" applyFill="1" applyBorder="1" applyAlignment="1">
      <alignment vertical="top" wrapText="1"/>
    </xf>
    <xf numFmtId="193" fontId="10" fillId="34" borderId="0" xfId="0" applyFont="1" applyFill="1" applyBorder="1" applyAlignment="1">
      <alignment horizontal="right" vertical="top" wrapText="1"/>
    </xf>
    <xf numFmtId="193" fontId="2" fillId="0" borderId="46" xfId="0" applyFont="1" applyBorder="1" applyAlignment="1">
      <alignment/>
    </xf>
    <xf numFmtId="193" fontId="0" fillId="34" borderId="46" xfId="0" applyFill="1" applyBorder="1" applyAlignment="1">
      <alignment/>
    </xf>
    <xf numFmtId="193" fontId="0" fillId="34" borderId="36" xfId="0" applyFill="1" applyBorder="1" applyAlignment="1">
      <alignment/>
    </xf>
    <xf numFmtId="193" fontId="0" fillId="34" borderId="21" xfId="0" applyFill="1" applyBorder="1" applyAlignment="1">
      <alignment/>
    </xf>
    <xf numFmtId="193" fontId="0" fillId="34" borderId="37" xfId="0" applyFill="1" applyBorder="1" applyAlignment="1">
      <alignment/>
    </xf>
    <xf numFmtId="193" fontId="0" fillId="34" borderId="31" xfId="0" applyFill="1" applyBorder="1" applyAlignment="1">
      <alignment/>
    </xf>
    <xf numFmtId="8" fontId="2" fillId="33" borderId="20" xfId="44" applyNumberFormat="1" applyFont="1" applyFill="1" applyBorder="1" applyAlignment="1">
      <alignment/>
    </xf>
    <xf numFmtId="193" fontId="11" fillId="0" borderId="56" xfId="0" applyFont="1" applyBorder="1" applyAlignment="1">
      <alignment horizontal="center" vertical="top" wrapText="1"/>
    </xf>
    <xf numFmtId="193" fontId="2" fillId="0" borderId="57" xfId="0" applyFont="1" applyBorder="1" applyAlignment="1">
      <alignment/>
    </xf>
    <xf numFmtId="9" fontId="2" fillId="0" borderId="10" xfId="59" applyFont="1" applyBorder="1" applyAlignment="1">
      <alignment/>
    </xf>
    <xf numFmtId="193" fontId="2" fillId="0" borderId="39" xfId="0" applyFont="1" applyBorder="1" applyAlignment="1">
      <alignment horizontal="center"/>
    </xf>
    <xf numFmtId="193" fontId="0" fillId="0" borderId="33" xfId="0" applyBorder="1" applyAlignment="1">
      <alignment horizontal="center"/>
    </xf>
    <xf numFmtId="193" fontId="0" fillId="0" borderId="40" xfId="0" applyBorder="1" applyAlignment="1">
      <alignment horizontal="center"/>
    </xf>
    <xf numFmtId="193" fontId="10" fillId="34" borderId="58" xfId="0" applyFont="1" applyFill="1" applyBorder="1" applyAlignment="1">
      <alignment horizontal="right" vertical="top" wrapText="1"/>
    </xf>
    <xf numFmtId="193" fontId="0" fillId="34" borderId="58" xfId="0" applyFill="1" applyBorder="1" applyAlignment="1">
      <alignment/>
    </xf>
    <xf numFmtId="181" fontId="0" fillId="34" borderId="58" xfId="44" applyNumberFormat="1" applyFont="1" applyFill="1" applyBorder="1" applyAlignment="1">
      <alignment/>
    </xf>
    <xf numFmtId="8" fontId="0" fillId="0" borderId="29" xfId="44" applyNumberFormat="1" applyFont="1" applyBorder="1" applyAlignment="1">
      <alignment/>
    </xf>
    <xf numFmtId="8" fontId="0" fillId="0" borderId="59" xfId="44" applyNumberFormat="1" applyFont="1" applyBorder="1" applyAlignment="1">
      <alignment/>
    </xf>
    <xf numFmtId="6" fontId="0" fillId="0" borderId="20" xfId="44" applyNumberFormat="1" applyFont="1" applyBorder="1" applyAlignment="1">
      <alignment/>
    </xf>
    <xf numFmtId="6" fontId="2" fillId="33" borderId="20" xfId="44" applyNumberFormat="1" applyFont="1" applyFill="1" applyBorder="1" applyAlignment="1">
      <alignment/>
    </xf>
    <xf numFmtId="6" fontId="2" fillId="33" borderId="20" xfId="44" applyNumberFormat="1" applyFont="1" applyFill="1" applyBorder="1" applyAlignment="1">
      <alignment/>
    </xf>
    <xf numFmtId="193" fontId="2" fillId="0" borderId="19" xfId="0" applyFont="1" applyBorder="1" applyAlignment="1">
      <alignment horizontal="center"/>
    </xf>
    <xf numFmtId="193" fontId="2" fillId="0" borderId="51" xfId="0" applyFont="1" applyBorder="1" applyAlignment="1">
      <alignment horizontal="center"/>
    </xf>
    <xf numFmtId="193" fontId="2" fillId="0" borderId="36" xfId="0" applyFont="1" applyBorder="1" applyAlignment="1">
      <alignment horizontal="center"/>
    </xf>
    <xf numFmtId="193" fontId="2" fillId="0" borderId="21" xfId="0" applyFont="1" applyBorder="1" applyAlignment="1">
      <alignment horizontal="center"/>
    </xf>
    <xf numFmtId="193" fontId="2" fillId="0" borderId="37" xfId="0" applyFont="1" applyBorder="1" applyAlignment="1">
      <alignment horizontal="center"/>
    </xf>
    <xf numFmtId="193" fontId="2" fillId="0" borderId="36" xfId="0" applyFont="1" applyBorder="1" applyAlignment="1">
      <alignment/>
    </xf>
    <xf numFmtId="193" fontId="2" fillId="0" borderId="21" xfId="0" applyFont="1" applyBorder="1" applyAlignment="1">
      <alignment/>
    </xf>
    <xf numFmtId="193" fontId="2" fillId="0" borderId="37" xfId="0" applyFont="1" applyBorder="1" applyAlignment="1">
      <alignment/>
    </xf>
    <xf numFmtId="193" fontId="2" fillId="0" borderId="52" xfId="0" applyFont="1" applyBorder="1" applyAlignment="1">
      <alignment/>
    </xf>
    <xf numFmtId="193" fontId="2" fillId="0" borderId="54" xfId="0" applyFont="1" applyBorder="1" applyAlignment="1">
      <alignment/>
    </xf>
    <xf numFmtId="193" fontId="2" fillId="0" borderId="52" xfId="0" applyFont="1" applyBorder="1" applyAlignment="1">
      <alignment horizontal="center"/>
    </xf>
    <xf numFmtId="193" fontId="2" fillId="0" borderId="53" xfId="0" applyFont="1" applyBorder="1" applyAlignment="1">
      <alignment horizontal="center"/>
    </xf>
    <xf numFmtId="193" fontId="2" fillId="0" borderId="54" xfId="0" applyFont="1" applyBorder="1" applyAlignment="1">
      <alignment horizontal="center"/>
    </xf>
    <xf numFmtId="198" fontId="2" fillId="0" borderId="21" xfId="0" applyNumberFormat="1" applyFont="1" applyBorder="1" applyAlignment="1">
      <alignment horizontal="center"/>
    </xf>
    <xf numFmtId="206" fontId="2" fillId="0" borderId="0" xfId="0" applyNumberFormat="1" applyFont="1" applyBorder="1" applyAlignment="1">
      <alignment horizontal="center"/>
    </xf>
    <xf numFmtId="193" fontId="2" fillId="0" borderId="60" xfId="0" applyFont="1" applyBorder="1" applyAlignment="1">
      <alignment/>
    </xf>
    <xf numFmtId="193" fontId="2" fillId="0" borderId="61" xfId="0" applyFont="1" applyBorder="1" applyAlignment="1">
      <alignment/>
    </xf>
    <xf numFmtId="193" fontId="2" fillId="0" borderId="62" xfId="0" applyFont="1" applyBorder="1" applyAlignment="1">
      <alignment/>
    </xf>
    <xf numFmtId="198" fontId="2" fillId="0" borderId="0" xfId="0" applyNumberFormat="1" applyFont="1" applyBorder="1" applyAlignment="1">
      <alignment horizontal="center"/>
    </xf>
    <xf numFmtId="193" fontId="2" fillId="0" borderId="10" xfId="0" applyFont="1" applyBorder="1" applyAlignment="1">
      <alignment horizontal="center"/>
    </xf>
    <xf numFmtId="198" fontId="2" fillId="0" borderId="36" xfId="0" applyNumberFormat="1" applyFont="1" applyBorder="1" applyAlignment="1">
      <alignment horizontal="center"/>
    </xf>
    <xf numFmtId="198" fontId="2" fillId="0" borderId="37" xfId="0" applyNumberFormat="1" applyFont="1" applyBorder="1" applyAlignment="1">
      <alignment horizontal="center"/>
    </xf>
    <xf numFmtId="193" fontId="2" fillId="0" borderId="63" xfId="0" applyFont="1" applyBorder="1" applyAlignment="1">
      <alignment horizontal="center"/>
    </xf>
    <xf numFmtId="200" fontId="2" fillId="0" borderId="15" xfId="0" applyNumberFormat="1" applyFont="1" applyBorder="1" applyAlignment="1">
      <alignment/>
    </xf>
    <xf numFmtId="200" fontId="2" fillId="0" borderId="63" xfId="0" applyNumberFormat="1" applyFont="1" applyBorder="1" applyAlignment="1">
      <alignment/>
    </xf>
    <xf numFmtId="193" fontId="0" fillId="0" borderId="64" xfId="0" applyBorder="1" applyAlignment="1">
      <alignment/>
    </xf>
    <xf numFmtId="193" fontId="2" fillId="0" borderId="49" xfId="0" applyFont="1" applyBorder="1" applyAlignment="1">
      <alignment/>
    </xf>
    <xf numFmtId="206" fontId="2" fillId="0" borderId="65" xfId="0" applyNumberFormat="1" applyFont="1" applyBorder="1" applyAlignment="1">
      <alignment/>
    </xf>
    <xf numFmtId="206" fontId="2" fillId="0" borderId="49" xfId="0" applyNumberFormat="1" applyFont="1" applyBorder="1" applyAlignment="1">
      <alignment/>
    </xf>
    <xf numFmtId="193" fontId="2" fillId="0" borderId="50" xfId="0" applyFont="1" applyBorder="1" applyAlignment="1">
      <alignment/>
    </xf>
    <xf numFmtId="193" fontId="2" fillId="33" borderId="53" xfId="0" applyFont="1" applyFill="1" applyBorder="1" applyAlignment="1">
      <alignment/>
    </xf>
    <xf numFmtId="193" fontId="2" fillId="33" borderId="54" xfId="0" applyFont="1" applyFill="1" applyBorder="1" applyAlignment="1">
      <alignment/>
    </xf>
    <xf numFmtId="193" fontId="2" fillId="33" borderId="0" xfId="0" applyFont="1" applyFill="1" applyAlignment="1">
      <alignment/>
    </xf>
    <xf numFmtId="193" fontId="2" fillId="0" borderId="50" xfId="0" applyFont="1" applyBorder="1" applyAlignment="1">
      <alignment horizontal="center"/>
    </xf>
    <xf numFmtId="193" fontId="2" fillId="0" borderId="19" xfId="0" applyFont="1" applyBorder="1" applyAlignment="1">
      <alignment horizontal="center"/>
    </xf>
    <xf numFmtId="193" fontId="2" fillId="0" borderId="51" xfId="0" applyFont="1" applyBorder="1" applyAlignment="1">
      <alignment horizontal="center"/>
    </xf>
    <xf numFmtId="193" fontId="2" fillId="0" borderId="66" xfId="0" applyFont="1" applyBorder="1" applyAlignment="1">
      <alignment horizontal="center"/>
    </xf>
    <xf numFmtId="193" fontId="2" fillId="0" borderId="67" xfId="0" applyFont="1" applyBorder="1" applyAlignment="1">
      <alignment horizontal="center"/>
    </xf>
    <xf numFmtId="193" fontId="2" fillId="0" borderId="68" xfId="0" applyFont="1" applyBorder="1" applyAlignment="1">
      <alignment horizontal="center"/>
    </xf>
    <xf numFmtId="193" fontId="0" fillId="0" borderId="69" xfId="0" applyFill="1" applyBorder="1" applyAlignment="1">
      <alignment horizontal="center"/>
    </xf>
    <xf numFmtId="193" fontId="0" fillId="0" borderId="10" xfId="0" applyFill="1" applyBorder="1" applyAlignment="1">
      <alignment horizontal="center"/>
    </xf>
    <xf numFmtId="193" fontId="0" fillId="0" borderId="70" xfId="0" applyFill="1" applyBorder="1" applyAlignment="1">
      <alignment horizontal="center"/>
    </xf>
    <xf numFmtId="193" fontId="2" fillId="0" borderId="71" xfId="0" applyFont="1" applyFill="1" applyBorder="1" applyAlignment="1">
      <alignment horizontal="center"/>
    </xf>
    <xf numFmtId="193" fontId="2" fillId="0" borderId="25" xfId="0" applyFont="1" applyFill="1" applyBorder="1" applyAlignment="1">
      <alignment horizontal="center"/>
    </xf>
    <xf numFmtId="193" fontId="2" fillId="0" borderId="72" xfId="0" applyFont="1" applyFill="1" applyBorder="1" applyAlignment="1">
      <alignment horizontal="center"/>
    </xf>
    <xf numFmtId="193" fontId="2" fillId="0" borderId="10" xfId="0" applyFont="1" applyFill="1" applyBorder="1" applyAlignment="1">
      <alignment horizontal="center"/>
    </xf>
    <xf numFmtId="193" fontId="2" fillId="0" borderId="26" xfId="0" applyFont="1" applyFill="1" applyBorder="1" applyAlignment="1">
      <alignment horizontal="center"/>
    </xf>
    <xf numFmtId="193" fontId="2" fillId="0" borderId="69" xfId="0" applyFont="1" applyFill="1" applyBorder="1" applyAlignment="1">
      <alignment horizontal="center"/>
    </xf>
    <xf numFmtId="193" fontId="2" fillId="0" borderId="70" xfId="0" applyFont="1" applyFill="1" applyBorder="1" applyAlignment="1">
      <alignment horizontal="center"/>
    </xf>
    <xf numFmtId="193" fontId="2" fillId="0" borderId="57" xfId="0" applyFont="1" applyFill="1" applyBorder="1" applyAlignment="1">
      <alignment horizontal="center"/>
    </xf>
    <xf numFmtId="193" fontId="2" fillId="0" borderId="71" xfId="0" applyFont="1" applyFill="1" applyBorder="1" applyAlignment="1">
      <alignment horizontal="center" wrapText="1"/>
    </xf>
    <xf numFmtId="193" fontId="0" fillId="0" borderId="27" xfId="0" applyFill="1" applyBorder="1" applyAlignment="1">
      <alignment horizontal="center" wrapText="1"/>
    </xf>
    <xf numFmtId="193" fontId="2" fillId="0" borderId="25" xfId="0" applyFont="1" applyFill="1" applyBorder="1" applyAlignment="1">
      <alignment horizontal="center" wrapText="1"/>
    </xf>
    <xf numFmtId="193" fontId="0" fillId="0" borderId="26" xfId="0" applyFill="1" applyBorder="1" applyAlignment="1">
      <alignment horizontal="center" wrapText="1"/>
    </xf>
    <xf numFmtId="193" fontId="2" fillId="0" borderId="72" xfId="0" applyFont="1" applyFill="1" applyBorder="1" applyAlignment="1">
      <alignment horizontal="center" wrapText="1"/>
    </xf>
    <xf numFmtId="193" fontId="0" fillId="0" borderId="28" xfId="0" applyFill="1" applyBorder="1" applyAlignment="1">
      <alignment horizontal="center" wrapText="1"/>
    </xf>
    <xf numFmtId="193" fontId="2" fillId="0" borderId="44" xfId="0" applyFont="1" applyFill="1" applyBorder="1" applyAlignment="1">
      <alignment horizontal="center"/>
    </xf>
    <xf numFmtId="193" fontId="9" fillId="0" borderId="50" xfId="0" applyFont="1" applyFill="1" applyBorder="1" applyAlignment="1">
      <alignment horizontal="center"/>
    </xf>
    <xf numFmtId="193" fontId="9" fillId="0" borderId="73" xfId="0" applyFont="1" applyFill="1" applyBorder="1" applyAlignment="1">
      <alignment horizontal="center"/>
    </xf>
    <xf numFmtId="193" fontId="9" fillId="0" borderId="29" xfId="0" applyFont="1" applyFill="1" applyBorder="1" applyAlignment="1">
      <alignment horizontal="left"/>
    </xf>
    <xf numFmtId="193" fontId="2" fillId="0" borderId="74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zoomScalePageLayoutView="0" workbookViewId="0" topLeftCell="A1">
      <selection activeCell="C56" sqref="C56"/>
    </sheetView>
  </sheetViews>
  <sheetFormatPr defaultColWidth="9.33203125" defaultRowHeight="12.75"/>
  <cols>
    <col min="1" max="1" width="33" style="0" bestFit="1" customWidth="1"/>
    <col min="2" max="3" width="12.83203125" style="0" customWidth="1"/>
    <col min="4" max="4" width="3.16015625" style="0" customWidth="1"/>
    <col min="5" max="6" width="12.83203125" style="0" customWidth="1"/>
    <col min="7" max="7" width="13.66015625" style="0" customWidth="1"/>
    <col min="8" max="8" width="9.66015625" style="0" bestFit="1" customWidth="1"/>
    <col min="9" max="9" width="15.33203125" style="0" customWidth="1"/>
    <col min="13" max="13" width="13.66015625" style="0" customWidth="1"/>
    <col min="14" max="14" width="14.16015625" style="0" customWidth="1"/>
  </cols>
  <sheetData>
    <row r="1" spans="1:3" ht="12.75">
      <c r="A1" s="180" t="s">
        <v>24</v>
      </c>
      <c r="B1" s="181">
        <v>0.25</v>
      </c>
      <c r="C1" s="126"/>
    </row>
    <row r="2" spans="1:4" ht="12.75">
      <c r="A2" s="146"/>
      <c r="B2" s="112" t="s">
        <v>0</v>
      </c>
      <c r="C2" s="182" t="s">
        <v>1</v>
      </c>
      <c r="D2" s="1"/>
    </row>
    <row r="3" spans="1:3" ht="12.75">
      <c r="A3" s="183" t="s">
        <v>2</v>
      </c>
      <c r="B3" s="104">
        <v>200000</v>
      </c>
      <c r="C3" s="107">
        <v>100000</v>
      </c>
    </row>
    <row r="4" spans="1:3" ht="12.75">
      <c r="A4" s="183" t="s">
        <v>3</v>
      </c>
      <c r="B4" s="104">
        <v>150000</v>
      </c>
      <c r="C4" s="107">
        <v>70000</v>
      </c>
    </row>
    <row r="5" spans="1:4" ht="12.75">
      <c r="A5" s="183" t="s">
        <v>5</v>
      </c>
      <c r="B5" s="110">
        <f>+B4/B3</f>
        <v>0.75</v>
      </c>
      <c r="C5" s="111">
        <f>+C4/C3</f>
        <v>0.7</v>
      </c>
      <c r="D5" s="3"/>
    </row>
    <row r="6" spans="1:3" ht="13.5" thickBot="1">
      <c r="A6" s="184" t="s">
        <v>41</v>
      </c>
      <c r="B6" s="108">
        <f>+B3-B4</f>
        <v>50000</v>
      </c>
      <c r="C6" s="109">
        <f>+C3-C4</f>
        <v>30000</v>
      </c>
    </row>
    <row r="7" spans="1:7" ht="13.5" thickBot="1">
      <c r="A7" s="167"/>
      <c r="B7" s="168"/>
      <c r="C7" s="168"/>
      <c r="D7" s="169"/>
      <c r="E7" s="169"/>
      <c r="F7" s="169"/>
      <c r="G7" s="169"/>
    </row>
    <row r="8" spans="1:7" ht="13.5" customHeight="1" thickBot="1">
      <c r="A8" s="158" t="s">
        <v>137</v>
      </c>
      <c r="B8" s="179" t="s">
        <v>133</v>
      </c>
      <c r="C8" s="179" t="s">
        <v>134</v>
      </c>
      <c r="D8" s="132"/>
      <c r="E8" s="135" t="s">
        <v>8</v>
      </c>
      <c r="F8" s="135" t="s">
        <v>9</v>
      </c>
      <c r="G8" s="135" t="s">
        <v>10</v>
      </c>
    </row>
    <row r="9" spans="1:7" ht="13.5" thickBot="1">
      <c r="A9" s="159" t="s">
        <v>135</v>
      </c>
      <c r="B9" s="160">
        <v>1800</v>
      </c>
      <c r="C9" s="160">
        <v>700</v>
      </c>
      <c r="D9" s="132"/>
      <c r="E9" s="161">
        <v>100</v>
      </c>
      <c r="F9" s="162">
        <v>100</v>
      </c>
      <c r="G9" s="163"/>
    </row>
    <row r="10" spans="1:7" ht="13.5" thickBot="1">
      <c r="A10" s="159" t="s">
        <v>136</v>
      </c>
      <c r="B10" s="160">
        <v>800</v>
      </c>
      <c r="C10" s="160">
        <v>500</v>
      </c>
      <c r="D10" s="132"/>
      <c r="E10" s="164">
        <v>100</v>
      </c>
      <c r="F10" s="165">
        <v>200</v>
      </c>
      <c r="G10" s="166">
        <v>200</v>
      </c>
    </row>
    <row r="11" spans="1:7" ht="13.5" thickBot="1">
      <c r="A11" s="170"/>
      <c r="B11" s="171"/>
      <c r="C11" s="171"/>
      <c r="D11" s="168"/>
      <c r="E11" s="185"/>
      <c r="F11" s="185"/>
      <c r="G11" s="185"/>
    </row>
    <row r="12" spans="1:7" ht="13.5" thickBot="1">
      <c r="A12" s="105" t="s">
        <v>13</v>
      </c>
      <c r="B12" s="114"/>
      <c r="C12" s="114"/>
      <c r="D12" s="132"/>
      <c r="E12" s="135" t="s">
        <v>8</v>
      </c>
      <c r="F12" s="135" t="s">
        <v>9</v>
      </c>
      <c r="G12" s="135" t="s">
        <v>10</v>
      </c>
    </row>
    <row r="13" spans="1:7" ht="12.75">
      <c r="A13" s="106" t="s">
        <v>16</v>
      </c>
      <c r="B13" s="115">
        <v>0.4</v>
      </c>
      <c r="C13" s="115">
        <v>0.3</v>
      </c>
      <c r="D13" s="145"/>
      <c r="E13" s="148">
        <v>0.2</v>
      </c>
      <c r="F13" s="149">
        <v>0.1</v>
      </c>
      <c r="G13" s="150"/>
    </row>
    <row r="14" spans="1:7" ht="12.75">
      <c r="A14" s="106" t="s">
        <v>15</v>
      </c>
      <c r="B14" s="115">
        <v>0.5</v>
      </c>
      <c r="C14" s="115">
        <v>0.25</v>
      </c>
      <c r="D14" s="8"/>
      <c r="E14" s="151">
        <v>0.25</v>
      </c>
      <c r="F14" s="152"/>
      <c r="G14" s="153"/>
    </row>
    <row r="15" spans="1:7" ht="12.75">
      <c r="A15" s="106" t="s">
        <v>17</v>
      </c>
      <c r="B15" s="115">
        <v>0.6</v>
      </c>
      <c r="C15" s="115">
        <v>0.4</v>
      </c>
      <c r="D15" s="8"/>
      <c r="E15" s="151"/>
      <c r="F15" s="152"/>
      <c r="G15" s="153"/>
    </row>
    <row r="16" spans="1:7" ht="12.75">
      <c r="A16" s="106" t="s">
        <v>14</v>
      </c>
      <c r="B16" s="104">
        <v>640</v>
      </c>
      <c r="C16" s="104">
        <v>480</v>
      </c>
      <c r="D16" s="7"/>
      <c r="E16" s="116">
        <v>240</v>
      </c>
      <c r="F16" s="102">
        <v>80</v>
      </c>
      <c r="G16" s="117">
        <v>160</v>
      </c>
    </row>
    <row r="17" spans="1:7" ht="12.75">
      <c r="A17" s="146" t="s">
        <v>58</v>
      </c>
      <c r="B17" s="7"/>
      <c r="C17" s="7"/>
      <c r="D17" s="7"/>
      <c r="E17" s="116"/>
      <c r="F17" s="102"/>
      <c r="G17" s="117">
        <f>SUM(B16:G16)</f>
        <v>1600</v>
      </c>
    </row>
    <row r="18" spans="1:7" ht="12.75">
      <c r="A18" s="173"/>
      <c r="B18" s="168"/>
      <c r="C18" s="168"/>
      <c r="D18" s="168"/>
      <c r="E18" s="174"/>
      <c r="F18" s="175"/>
      <c r="G18" s="176"/>
    </row>
    <row r="19" spans="1:7" ht="12.75">
      <c r="A19" s="172" t="s">
        <v>21</v>
      </c>
      <c r="B19" s="7"/>
      <c r="C19" s="7"/>
      <c r="D19" s="7"/>
      <c r="E19" s="116"/>
      <c r="F19" s="102"/>
      <c r="G19" s="154">
        <v>3600000</v>
      </c>
    </row>
    <row r="20" spans="1:7" ht="13.5" thickBot="1">
      <c r="A20" s="147" t="s">
        <v>22</v>
      </c>
      <c r="B20" s="124"/>
      <c r="C20" s="124"/>
      <c r="D20" s="124"/>
      <c r="E20" s="155"/>
      <c r="F20" s="156"/>
      <c r="G20" s="157">
        <f>+G19/G17</f>
        <v>2250</v>
      </c>
    </row>
    <row r="21" spans="1:7" ht="13.5" thickBot="1">
      <c r="A21" s="168"/>
      <c r="B21" s="177"/>
      <c r="C21" s="177"/>
      <c r="D21" s="168"/>
      <c r="E21" s="186"/>
      <c r="F21" s="186"/>
      <c r="G21" s="187"/>
    </row>
    <row r="22" spans="2:7" ht="13.5" thickBot="1">
      <c r="B22" s="143" t="s">
        <v>6</v>
      </c>
      <c r="C22" s="144" t="s">
        <v>7</v>
      </c>
      <c r="D22" s="11"/>
      <c r="E22" s="135" t="s">
        <v>8</v>
      </c>
      <c r="F22" s="135" t="s">
        <v>9</v>
      </c>
      <c r="G22" s="135" t="s">
        <v>10</v>
      </c>
    </row>
    <row r="23" spans="1:7" ht="12.75">
      <c r="A23" s="9" t="s">
        <v>20</v>
      </c>
      <c r="B23" s="1"/>
      <c r="C23" s="1"/>
      <c r="D23" s="1"/>
      <c r="E23" s="1"/>
      <c r="F23" s="1"/>
      <c r="G23" s="1"/>
    </row>
    <row r="24" spans="1:7" ht="12.75">
      <c r="A24" s="104" t="s">
        <v>11</v>
      </c>
      <c r="B24" s="136">
        <v>1800</v>
      </c>
      <c r="C24" s="136">
        <v>700</v>
      </c>
      <c r="D24" s="6"/>
      <c r="E24" s="136">
        <v>100</v>
      </c>
      <c r="F24" s="136">
        <v>100</v>
      </c>
      <c r="G24" s="136"/>
    </row>
    <row r="25" spans="1:7" ht="12" customHeight="1">
      <c r="A25" s="104" t="s">
        <v>12</v>
      </c>
      <c r="B25" s="136">
        <v>800</v>
      </c>
      <c r="C25" s="136">
        <v>500</v>
      </c>
      <c r="D25" s="6"/>
      <c r="E25" s="136">
        <v>100</v>
      </c>
      <c r="F25" s="136">
        <v>200</v>
      </c>
      <c r="G25" s="136">
        <v>200</v>
      </c>
    </row>
    <row r="26" spans="1:8" ht="12.75">
      <c r="A26" s="138" t="s">
        <v>18</v>
      </c>
      <c r="B26" s="137">
        <f>SUM(B24:B25)</f>
        <v>2600</v>
      </c>
      <c r="C26" s="137">
        <f>SUM(C24:C25)</f>
        <v>1200</v>
      </c>
      <c r="D26" s="6"/>
      <c r="E26" s="137">
        <f>SUM(E24:E25)</f>
        <v>200</v>
      </c>
      <c r="F26" s="137">
        <f>SUM(F24:F25)</f>
        <v>300</v>
      </c>
      <c r="G26" s="137">
        <f>SUM(G24:G25)</f>
        <v>200</v>
      </c>
      <c r="H26" s="4"/>
    </row>
    <row r="27" spans="1:7" ht="12.75">
      <c r="A27" s="104" t="s">
        <v>19</v>
      </c>
      <c r="B27" s="136"/>
      <c r="C27" s="136"/>
      <c r="D27" s="6"/>
      <c r="E27" s="136"/>
      <c r="F27" s="136"/>
      <c r="G27" s="136"/>
    </row>
    <row r="28" spans="1:7" ht="12.75">
      <c r="A28" s="104" t="s">
        <v>10</v>
      </c>
      <c r="B28" s="136">
        <f>+$G$26*B13</f>
        <v>80</v>
      </c>
      <c r="C28" s="136">
        <f>+$G$26*C13</f>
        <v>60</v>
      </c>
      <c r="D28" s="4"/>
      <c r="E28" s="189">
        <f>+$G$26*E13</f>
        <v>40</v>
      </c>
      <c r="F28" s="189">
        <f>+$G$26*F13</f>
        <v>20</v>
      </c>
      <c r="G28" s="189">
        <f>+$G$26*G13</f>
        <v>0</v>
      </c>
    </row>
    <row r="29" spans="1:7" ht="12.75">
      <c r="A29" s="104" t="s">
        <v>9</v>
      </c>
      <c r="B29" s="136">
        <f>($F$26+$F$28)*B14</f>
        <v>160</v>
      </c>
      <c r="C29" s="136">
        <f>($F$26+$F$28)*C14</f>
        <v>80</v>
      </c>
      <c r="D29" s="4"/>
      <c r="E29" s="136">
        <f>($F$26+$F$28)*E14</f>
        <v>80</v>
      </c>
      <c r="F29" s="136">
        <f>($F$26+$F$28)*F14</f>
        <v>0</v>
      </c>
      <c r="G29" s="136">
        <f>($F$26+$F$28)*G14</f>
        <v>0</v>
      </c>
    </row>
    <row r="30" spans="1:7" ht="12.75">
      <c r="A30" s="104" t="s">
        <v>8</v>
      </c>
      <c r="B30" s="136">
        <f>SUM($E$26:$E$29)*B15</f>
        <v>192</v>
      </c>
      <c r="C30" s="136">
        <f>SUM($E$26:$E$29)*C15</f>
        <v>128</v>
      </c>
      <c r="D30" s="6"/>
      <c r="E30" s="6"/>
      <c r="F30" s="4"/>
      <c r="G30" s="4"/>
    </row>
    <row r="31" spans="1:8" ht="12.75">
      <c r="A31" s="104" t="s">
        <v>23</v>
      </c>
      <c r="B31" s="136">
        <f>SUM(B28:B30)</f>
        <v>432</v>
      </c>
      <c r="C31" s="136">
        <f>SUM(C28:C30)</f>
        <v>268</v>
      </c>
      <c r="D31" s="4"/>
      <c r="E31" s="4"/>
      <c r="F31" s="4"/>
      <c r="G31" s="4"/>
      <c r="H31" s="4"/>
    </row>
    <row r="32" spans="1:8" ht="12.75">
      <c r="A32" s="104" t="s">
        <v>26</v>
      </c>
      <c r="B32" s="178">
        <f>+B26+B31</f>
        <v>3032</v>
      </c>
      <c r="C32" s="178">
        <f>+C26+C31</f>
        <v>1468</v>
      </c>
      <c r="D32" s="4"/>
      <c r="E32" s="4"/>
      <c r="F32" s="4"/>
      <c r="G32" s="4"/>
      <c r="H32" s="4"/>
    </row>
    <row r="33" spans="1:8" ht="13.5" thickBot="1">
      <c r="A33" s="104" t="s">
        <v>25</v>
      </c>
      <c r="B33" s="136">
        <f>+B32/B4*1000</f>
        <v>20.213333333333335</v>
      </c>
      <c r="C33" s="136">
        <f>+C32/C4*1000</f>
        <v>20.97142857142857</v>
      </c>
      <c r="D33" s="4"/>
      <c r="E33" s="4"/>
      <c r="F33" s="4"/>
      <c r="G33" s="4"/>
      <c r="H33" s="4"/>
    </row>
    <row r="34" spans="1:8" ht="13.5" thickBot="1">
      <c r="A34" s="104"/>
      <c r="B34" s="136"/>
      <c r="C34" s="136"/>
      <c r="D34" s="4"/>
      <c r="E34" s="135" t="s">
        <v>8</v>
      </c>
      <c r="F34" s="135" t="s">
        <v>9</v>
      </c>
      <c r="G34" s="135" t="s">
        <v>10</v>
      </c>
      <c r="H34" s="4"/>
    </row>
    <row r="35" spans="1:8" ht="12.75">
      <c r="A35" s="104" t="s">
        <v>138</v>
      </c>
      <c r="B35" s="190">
        <f>+B16*$G$20</f>
        <v>1440000</v>
      </c>
      <c r="C35" s="190">
        <f>+C16*$G$20</f>
        <v>1080000</v>
      </c>
      <c r="D35" s="4"/>
      <c r="E35" s="188">
        <f>+E16*$G$20</f>
        <v>540000</v>
      </c>
      <c r="F35" s="188">
        <f>+F16*$G$20</f>
        <v>180000</v>
      </c>
      <c r="G35" s="188">
        <f>+G16*$G$20</f>
        <v>360000</v>
      </c>
      <c r="H35" s="4"/>
    </row>
    <row r="36" spans="1:8" ht="12.75">
      <c r="A36" s="104" t="s">
        <v>33</v>
      </c>
      <c r="B36" s="190">
        <f>+$G$35*B13</f>
        <v>144000</v>
      </c>
      <c r="C36" s="190">
        <f>+$G$35*C13</f>
        <v>108000</v>
      </c>
      <c r="D36" s="4"/>
      <c r="E36" s="136">
        <f>+$G$35*E13</f>
        <v>72000</v>
      </c>
      <c r="F36" s="136">
        <f>+$G$35*F13</f>
        <v>36000</v>
      </c>
      <c r="G36" s="136">
        <f>+$G$35*G13</f>
        <v>0</v>
      </c>
      <c r="H36" s="4"/>
    </row>
    <row r="37" spans="1:8" ht="12.75">
      <c r="A37" s="104" t="s">
        <v>9</v>
      </c>
      <c r="B37" s="190">
        <f>+SUM($F$35:$F$36)*B14</f>
        <v>108000</v>
      </c>
      <c r="C37" s="190">
        <f>+SUM($F$35:$F$36)*C14</f>
        <v>54000</v>
      </c>
      <c r="D37" s="4"/>
      <c r="E37" s="136">
        <f>+SUM($F$35:$F$36)*E14</f>
        <v>54000</v>
      </c>
      <c r="F37" s="136">
        <f>+SUM($F$35:$F$36)*F14</f>
        <v>0</v>
      </c>
      <c r="G37" s="136">
        <f>+SUM($F$35:$F$36)*G14</f>
        <v>0</v>
      </c>
      <c r="H37" s="4"/>
    </row>
    <row r="38" spans="1:8" ht="12.75">
      <c r="A38" s="104" t="s">
        <v>8</v>
      </c>
      <c r="B38" s="190">
        <f>SUM($E$35:$E$37)*B15</f>
        <v>399600</v>
      </c>
      <c r="C38" s="190">
        <f>SUM($E$35:$E$37)*C15</f>
        <v>266400</v>
      </c>
      <c r="D38" s="4"/>
      <c r="E38" s="4"/>
      <c r="F38" s="4"/>
      <c r="G38" s="4"/>
      <c r="H38" s="4"/>
    </row>
    <row r="39" spans="1:8" ht="12.75">
      <c r="A39" s="104" t="s">
        <v>45</v>
      </c>
      <c r="B39" s="191">
        <f>SUM(B35:B38)</f>
        <v>2091600</v>
      </c>
      <c r="C39" s="191">
        <f>SUM(C35:C38)</f>
        <v>1508400</v>
      </c>
      <c r="D39" s="4"/>
      <c r="E39" s="4"/>
      <c r="F39" s="4"/>
      <c r="G39" s="4"/>
      <c r="H39" s="4"/>
    </row>
    <row r="40" spans="1:8" ht="12.75">
      <c r="A40" s="139" t="s">
        <v>46</v>
      </c>
      <c r="B40" s="192">
        <f>+B32+B39</f>
        <v>2094632</v>
      </c>
      <c r="C40" s="192">
        <f>+C32+C39</f>
        <v>1509868</v>
      </c>
      <c r="D40" s="4"/>
      <c r="E40" s="4"/>
      <c r="F40" s="4"/>
      <c r="G40" s="4"/>
      <c r="H40" s="4"/>
    </row>
    <row r="41" spans="2:8" ht="12.75">
      <c r="B41" s="4"/>
      <c r="C41" s="4"/>
      <c r="D41" s="4"/>
      <c r="E41" s="4"/>
      <c r="F41" s="4"/>
      <c r="G41" s="4"/>
      <c r="H41" s="4"/>
    </row>
    <row r="42" spans="1:8" ht="12.75">
      <c r="A42" s="142" t="s">
        <v>48</v>
      </c>
      <c r="B42" s="141"/>
      <c r="C42" s="141"/>
      <c r="D42" s="4"/>
      <c r="E42" s="4"/>
      <c r="F42" s="4"/>
      <c r="G42" s="4"/>
      <c r="H42" s="4"/>
    </row>
    <row r="43" spans="1:8" ht="12.75">
      <c r="A43" s="104" t="s">
        <v>25</v>
      </c>
      <c r="B43" s="136">
        <f>+B33</f>
        <v>20.213333333333335</v>
      </c>
      <c r="C43" s="136">
        <f>+C33</f>
        <v>20.97142857142857</v>
      </c>
      <c r="D43" s="4"/>
      <c r="E43" s="4"/>
      <c r="F43" s="4"/>
      <c r="G43" s="4"/>
      <c r="H43" s="4"/>
    </row>
    <row r="44" spans="1:8" ht="12.75">
      <c r="A44" s="104" t="s">
        <v>36</v>
      </c>
      <c r="B44" s="136">
        <f>+B39/B4</f>
        <v>13.944</v>
      </c>
      <c r="C44" s="136">
        <f>+C39/C4</f>
        <v>21.548571428571428</v>
      </c>
      <c r="D44" s="4"/>
      <c r="E44" s="4"/>
      <c r="F44" s="4"/>
      <c r="G44" s="4"/>
      <c r="H44" s="4"/>
    </row>
    <row r="45" spans="1:8" ht="12.75">
      <c r="A45" s="104" t="s">
        <v>34</v>
      </c>
      <c r="B45" s="136">
        <f>+B43+B44</f>
        <v>34.157333333333334</v>
      </c>
      <c r="C45" s="136">
        <f>+C43+C44</f>
        <v>42.519999999999996</v>
      </c>
      <c r="D45" s="4"/>
      <c r="E45" s="4"/>
      <c r="F45" s="4"/>
      <c r="G45" s="4"/>
      <c r="H45" s="4"/>
    </row>
    <row r="46" spans="1:8" ht="12.75">
      <c r="A46" s="9" t="s">
        <v>35</v>
      </c>
      <c r="B46" s="4"/>
      <c r="C46" s="4"/>
      <c r="D46" s="4"/>
      <c r="E46" s="4"/>
      <c r="F46" s="4"/>
      <c r="G46" s="4"/>
      <c r="H46" s="4"/>
    </row>
    <row r="47" spans="1:8" ht="12.75">
      <c r="A47" s="104" t="s">
        <v>25</v>
      </c>
      <c r="B47" s="136">
        <f>+B33</f>
        <v>20.213333333333335</v>
      </c>
      <c r="C47" s="136">
        <f>+C33</f>
        <v>20.97142857142857</v>
      </c>
      <c r="D47" s="4"/>
      <c r="E47" s="4"/>
      <c r="F47" s="4"/>
      <c r="G47" s="4"/>
      <c r="H47" s="4"/>
    </row>
    <row r="48" spans="1:8" ht="12.75">
      <c r="A48" s="104" t="s">
        <v>36</v>
      </c>
      <c r="B48" s="136">
        <f>+B39/(B3)</f>
        <v>10.458</v>
      </c>
      <c r="C48" s="136">
        <f>+C39/(C3)</f>
        <v>15.084</v>
      </c>
      <c r="D48" s="4"/>
      <c r="E48" s="4"/>
      <c r="F48" s="4"/>
      <c r="G48" s="4"/>
      <c r="H48" s="4"/>
    </row>
    <row r="49" spans="1:8" ht="12.75">
      <c r="A49" s="104" t="s">
        <v>34</v>
      </c>
      <c r="B49" s="136">
        <f>+B47+B48</f>
        <v>30.671333333333337</v>
      </c>
      <c r="C49" s="136">
        <f>+C47+C48</f>
        <v>36.05542857142857</v>
      </c>
      <c r="D49" s="4"/>
      <c r="E49" s="4"/>
      <c r="F49" s="4"/>
      <c r="G49" s="4"/>
      <c r="H49" s="4"/>
    </row>
    <row r="50" spans="1:8" ht="12.75">
      <c r="A50" s="104" t="s">
        <v>50</v>
      </c>
      <c r="B50" s="137">
        <f>+B49*(1+$B$1)</f>
        <v>38.33916666666667</v>
      </c>
      <c r="C50" s="137">
        <f>+C49*(1+$B$1)</f>
        <v>45.06928571428571</v>
      </c>
      <c r="D50" s="4"/>
      <c r="E50" s="4"/>
      <c r="F50" s="4"/>
      <c r="G50" s="4"/>
      <c r="H50" s="4"/>
    </row>
    <row r="51" spans="1:7" ht="12.75">
      <c r="A51" s="169"/>
      <c r="B51" s="169"/>
      <c r="C51" s="168"/>
      <c r="D51" s="168"/>
      <c r="E51" s="169"/>
      <c r="F51" s="169"/>
      <c r="G51" s="169"/>
    </row>
    <row r="52" spans="1:4" ht="12.75">
      <c r="A52" s="10" t="s">
        <v>27</v>
      </c>
      <c r="B52" s="4"/>
      <c r="C52" s="4"/>
      <c r="D52" s="7"/>
    </row>
    <row r="53" spans="1:4" ht="12.75">
      <c r="A53" t="s">
        <v>28</v>
      </c>
      <c r="B53" s="4"/>
      <c r="C53" s="4">
        <v>35</v>
      </c>
      <c r="D53" s="7"/>
    </row>
    <row r="54" spans="1:4" ht="12.75">
      <c r="A54" t="s">
        <v>29</v>
      </c>
      <c r="B54" s="4"/>
      <c r="C54" s="5">
        <f>+C53-C33</f>
        <v>14.028571428571428</v>
      </c>
      <c r="D54" s="7"/>
    </row>
    <row r="55" spans="1:4" ht="12.75">
      <c r="A55" t="s">
        <v>31</v>
      </c>
      <c r="B55" s="4"/>
      <c r="C55">
        <v>3000</v>
      </c>
      <c r="D55" s="7"/>
    </row>
    <row r="56" spans="1:4" ht="12.75">
      <c r="A56" t="s">
        <v>30</v>
      </c>
      <c r="B56" s="4"/>
      <c r="C56" s="4">
        <f>+C54*C55</f>
        <v>42085.71428571428</v>
      </c>
      <c r="D56" s="7"/>
    </row>
    <row r="57" spans="1:4" ht="12.75">
      <c r="A57" t="s">
        <v>32</v>
      </c>
      <c r="D57" s="7"/>
    </row>
    <row r="58" spans="4:16" ht="12.75">
      <c r="D58" s="7"/>
      <c r="P58" s="103"/>
    </row>
    <row r="59" spans="1:4" ht="12.75">
      <c r="A59" t="s">
        <v>37</v>
      </c>
      <c r="D59" s="7"/>
    </row>
    <row r="60" spans="1:4" ht="12.75">
      <c r="A60" t="s">
        <v>38</v>
      </c>
      <c r="D60" s="7"/>
    </row>
    <row r="61" spans="1:7" ht="12.75">
      <c r="A61" s="169"/>
      <c r="B61" s="169"/>
      <c r="C61" s="169"/>
      <c r="D61" s="168"/>
      <c r="E61" s="169"/>
      <c r="F61" s="169"/>
      <c r="G61" s="169"/>
    </row>
    <row r="62" spans="1:4" ht="12.75">
      <c r="A62" s="10" t="s">
        <v>39</v>
      </c>
      <c r="D62" s="7"/>
    </row>
    <row r="63" spans="1:4" ht="12.75">
      <c r="A63" s="104" t="s">
        <v>40</v>
      </c>
      <c r="B63" s="104"/>
      <c r="C63" s="104">
        <v>50000</v>
      </c>
      <c r="D63" s="7"/>
    </row>
    <row r="64" spans="1:4" ht="12.75">
      <c r="A64" s="104" t="s">
        <v>42</v>
      </c>
      <c r="B64" s="104"/>
      <c r="C64" s="104">
        <f>+C6</f>
        <v>30000</v>
      </c>
      <c r="D64" s="7"/>
    </row>
    <row r="65" spans="1:4" ht="12.75">
      <c r="A65" s="104" t="s">
        <v>43</v>
      </c>
      <c r="B65" s="104"/>
      <c r="C65" s="104">
        <f>+C63-C64</f>
        <v>20000</v>
      </c>
      <c r="D65" s="7"/>
    </row>
    <row r="66" spans="1:4" ht="12.75">
      <c r="A66" s="104"/>
      <c r="B66" s="104"/>
      <c r="C66" s="104"/>
      <c r="D66" s="7"/>
    </row>
    <row r="67" spans="1:4" ht="12.75">
      <c r="A67" s="104"/>
      <c r="B67" s="136"/>
      <c r="C67" s="136"/>
      <c r="D67" s="7"/>
    </row>
    <row r="68" spans="1:4" ht="12.75">
      <c r="A68" s="104" t="s">
        <v>47</v>
      </c>
      <c r="B68" s="136"/>
      <c r="C68" s="136">
        <f>+C49</f>
        <v>36.05542857142857</v>
      </c>
      <c r="D68" s="7"/>
    </row>
    <row r="69" spans="1:4" ht="12.75">
      <c r="A69" s="104" t="s">
        <v>125</v>
      </c>
      <c r="B69" s="136"/>
      <c r="C69" s="140">
        <v>0.1</v>
      </c>
      <c r="D69" s="7"/>
    </row>
    <row r="70" spans="1:4" ht="12.75">
      <c r="A70" s="104" t="s">
        <v>44</v>
      </c>
      <c r="B70" s="136"/>
      <c r="C70" s="136">
        <f>+C68*(1+C69)</f>
        <v>39.66097142857143</v>
      </c>
      <c r="D70" s="7"/>
    </row>
    <row r="71" spans="1:4" ht="12.75">
      <c r="A71" s="104" t="s">
        <v>25</v>
      </c>
      <c r="B71" s="136"/>
      <c r="C71" s="136">
        <f>+C43</f>
        <v>20.97142857142857</v>
      </c>
      <c r="D71" s="7"/>
    </row>
    <row r="72" spans="1:4" ht="12.75">
      <c r="A72" s="104" t="s">
        <v>29</v>
      </c>
      <c r="B72" s="104"/>
      <c r="C72" s="136">
        <f>+C70-C71</f>
        <v>18.689542857142857</v>
      </c>
      <c r="D72" s="7"/>
    </row>
    <row r="73" spans="1:4" ht="12.75">
      <c r="A73" s="104" t="s">
        <v>31</v>
      </c>
      <c r="B73" s="104"/>
      <c r="C73" s="104">
        <f>+C63</f>
        <v>50000</v>
      </c>
      <c r="D73" s="7"/>
    </row>
    <row r="74" spans="1:4" ht="12.75">
      <c r="A74" s="104" t="s">
        <v>49</v>
      </c>
      <c r="B74" s="104"/>
      <c r="C74" s="136">
        <f>+C72*C73</f>
        <v>934477.1428571428</v>
      </c>
      <c r="D74" s="7"/>
    </row>
    <row r="75" spans="1:4" ht="12.75">
      <c r="A75" s="104"/>
      <c r="B75" s="104"/>
      <c r="C75" s="104"/>
      <c r="D75" s="7"/>
    </row>
    <row r="76" spans="1:4" ht="12.75">
      <c r="A76" s="104" t="s">
        <v>51</v>
      </c>
      <c r="B76" s="104"/>
      <c r="C76" s="136">
        <f>+C50</f>
        <v>45.06928571428571</v>
      </c>
      <c r="D76" s="7"/>
    </row>
    <row r="77" spans="1:4" ht="12.75">
      <c r="A77" s="104" t="s">
        <v>25</v>
      </c>
      <c r="B77" s="104"/>
      <c r="C77" s="136">
        <f>+C71</f>
        <v>20.97142857142857</v>
      </c>
      <c r="D77" s="7"/>
    </row>
    <row r="78" spans="1:4" ht="12.75">
      <c r="A78" s="104" t="s">
        <v>52</v>
      </c>
      <c r="B78" s="104"/>
      <c r="C78" s="136">
        <f>+C76-C77</f>
        <v>24.09785714285714</v>
      </c>
      <c r="D78" s="7"/>
    </row>
    <row r="79" spans="1:4" ht="12.75">
      <c r="A79" s="104" t="s">
        <v>53</v>
      </c>
      <c r="B79" s="104"/>
      <c r="C79" s="104">
        <f>+C65</f>
        <v>20000</v>
      </c>
      <c r="D79" s="7"/>
    </row>
    <row r="80" spans="1:4" ht="12.75">
      <c r="A80" s="104" t="s">
        <v>54</v>
      </c>
      <c r="B80" s="104"/>
      <c r="C80" s="136">
        <f>+C78*C79</f>
        <v>481957.14285714284</v>
      </c>
      <c r="D80" s="7"/>
    </row>
    <row r="81" spans="1:4" ht="12.75">
      <c r="A81" s="104" t="s">
        <v>55</v>
      </c>
      <c r="B81" s="104"/>
      <c r="C81" s="136">
        <f>+C74-C80</f>
        <v>452520</v>
      </c>
      <c r="D81" s="7"/>
    </row>
    <row r="83" ht="12.75">
      <c r="A83" t="s">
        <v>56</v>
      </c>
    </row>
    <row r="84" ht="12.75">
      <c r="A84" t="s">
        <v>57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66"/>
  <sheetViews>
    <sheetView tabSelected="1" zoomScalePageLayoutView="0" workbookViewId="0" topLeftCell="A1">
      <selection activeCell="G29" sqref="G29"/>
    </sheetView>
  </sheetViews>
  <sheetFormatPr defaultColWidth="9.33203125" defaultRowHeight="12.75"/>
  <cols>
    <col min="1" max="1" width="35.5" style="0" customWidth="1"/>
    <col min="2" max="2" width="11.5" style="0" customWidth="1"/>
    <col min="3" max="4" width="10.83203125" style="0" customWidth="1"/>
    <col min="6" max="6" width="28.66015625" style="0" customWidth="1"/>
    <col min="8" max="8" width="24.83203125" style="0" customWidth="1"/>
    <col min="10" max="10" width="10.16015625" style="0" customWidth="1"/>
  </cols>
  <sheetData>
    <row r="1" ht="13.5" thickBot="1"/>
    <row r="2" spans="2:10" ht="12.75">
      <c r="B2" s="226" t="s">
        <v>140</v>
      </c>
      <c r="C2" s="227"/>
      <c r="D2" s="228"/>
      <c r="F2" s="226" t="s">
        <v>148</v>
      </c>
      <c r="G2" s="227"/>
      <c r="H2" s="227"/>
      <c r="I2" s="228"/>
      <c r="J2" s="218"/>
    </row>
    <row r="3" spans="1:12" ht="13.5" thickBot="1">
      <c r="A3" s="9"/>
      <c r="B3" s="203" t="s">
        <v>133</v>
      </c>
      <c r="C3" s="204" t="s">
        <v>134</v>
      </c>
      <c r="D3" s="205" t="s">
        <v>139</v>
      </c>
      <c r="E3" s="9"/>
      <c r="F3" s="203" t="s">
        <v>149</v>
      </c>
      <c r="G3" s="215" t="s">
        <v>124</v>
      </c>
      <c r="H3" s="203" t="s">
        <v>155</v>
      </c>
      <c r="I3" s="205" t="s">
        <v>68</v>
      </c>
      <c r="J3" s="219" t="s">
        <v>161</v>
      </c>
      <c r="K3" s="9"/>
      <c r="L3" s="9"/>
    </row>
    <row r="4" spans="1:12" ht="12.75">
      <c r="A4" s="208" t="s">
        <v>62</v>
      </c>
      <c r="B4" s="195">
        <v>50000</v>
      </c>
      <c r="C4" s="196">
        <v>40000</v>
      </c>
      <c r="D4" s="197">
        <v>30000</v>
      </c>
      <c r="E4" s="9"/>
      <c r="F4" s="198" t="s">
        <v>150</v>
      </c>
      <c r="G4" s="216">
        <v>357000</v>
      </c>
      <c r="H4" s="198" t="s">
        <v>156</v>
      </c>
      <c r="I4" s="200">
        <v>420000</v>
      </c>
      <c r="J4" s="220">
        <f>+G4/I4</f>
        <v>0.85</v>
      </c>
      <c r="K4" s="9"/>
      <c r="L4" s="9"/>
    </row>
    <row r="5" spans="1:12" ht="12.75">
      <c r="A5" s="209" t="s">
        <v>44</v>
      </c>
      <c r="B5" s="213">
        <v>45</v>
      </c>
      <c r="C5" s="206">
        <v>95</v>
      </c>
      <c r="D5" s="214">
        <v>73</v>
      </c>
      <c r="E5" s="9"/>
      <c r="F5" s="198" t="s">
        <v>151</v>
      </c>
      <c r="G5" s="216">
        <v>318000</v>
      </c>
      <c r="H5" s="198" t="s">
        <v>157</v>
      </c>
      <c r="I5" s="200">
        <v>530000</v>
      </c>
      <c r="J5" s="220">
        <f>+G5/I5</f>
        <v>0.6</v>
      </c>
      <c r="K5" s="9"/>
      <c r="L5" s="9"/>
    </row>
    <row r="6" spans="1:12" ht="12.75">
      <c r="A6" s="209" t="s">
        <v>141</v>
      </c>
      <c r="B6" s="213">
        <v>32</v>
      </c>
      <c r="C6" s="206">
        <v>84</v>
      </c>
      <c r="D6" s="214">
        <v>65</v>
      </c>
      <c r="E6" s="9"/>
      <c r="F6" s="198" t="s">
        <v>152</v>
      </c>
      <c r="G6" s="216">
        <v>26000</v>
      </c>
      <c r="H6" s="198" t="s">
        <v>158</v>
      </c>
      <c r="I6" s="200">
        <v>520</v>
      </c>
      <c r="J6" s="220">
        <f>+G6/I6</f>
        <v>50</v>
      </c>
      <c r="K6" s="9"/>
      <c r="L6" s="9"/>
    </row>
    <row r="7" spans="1:12" ht="12.75">
      <c r="A7" s="209" t="s">
        <v>142</v>
      </c>
      <c r="B7" s="195">
        <v>2</v>
      </c>
      <c r="C7" s="196">
        <v>5</v>
      </c>
      <c r="D7" s="197">
        <v>4</v>
      </c>
      <c r="E7" s="9"/>
      <c r="F7" s="198" t="s">
        <v>153</v>
      </c>
      <c r="G7" s="216">
        <v>156000</v>
      </c>
      <c r="H7" s="198" t="s">
        <v>159</v>
      </c>
      <c r="I7" s="200">
        <v>32000</v>
      </c>
      <c r="J7" s="220">
        <f>+G7/I7</f>
        <v>4.875</v>
      </c>
      <c r="K7" s="9"/>
      <c r="L7" s="9"/>
    </row>
    <row r="8" spans="1:12" ht="13.5" thickBot="1">
      <c r="A8" s="210" t="s">
        <v>143</v>
      </c>
      <c r="B8" s="195">
        <v>7</v>
      </c>
      <c r="C8" s="196">
        <v>3</v>
      </c>
      <c r="D8" s="197">
        <v>2</v>
      </c>
      <c r="E8" s="9"/>
      <c r="F8" s="201" t="s">
        <v>154</v>
      </c>
      <c r="G8" s="217">
        <v>84000</v>
      </c>
      <c r="H8" s="201" t="s">
        <v>160</v>
      </c>
      <c r="I8" s="202">
        <v>11200</v>
      </c>
      <c r="J8" s="221">
        <f>+G8/I8</f>
        <v>7.5</v>
      </c>
      <c r="K8" s="9"/>
      <c r="L8" s="9"/>
    </row>
    <row r="9" spans="1:12" ht="12.75">
      <c r="A9" s="113"/>
      <c r="B9" s="212"/>
      <c r="C9" s="212"/>
      <c r="D9" s="212"/>
      <c r="E9" s="9"/>
      <c r="F9" s="9"/>
      <c r="G9" s="9"/>
      <c r="H9" s="9"/>
      <c r="J9" s="9"/>
      <c r="K9" s="9"/>
      <c r="L9" s="9"/>
    </row>
    <row r="10" spans="1:12" ht="12.75">
      <c r="A10" s="9" t="s">
        <v>144</v>
      </c>
      <c r="B10" s="113"/>
      <c r="C10" s="211">
        <v>1.2</v>
      </c>
      <c r="D10" s="113" t="s">
        <v>145</v>
      </c>
      <c r="E10" s="9"/>
      <c r="F10" s="9"/>
      <c r="G10" s="9"/>
      <c r="H10" s="9"/>
      <c r="I10" s="9"/>
      <c r="J10" s="9"/>
      <c r="K10" s="9"/>
      <c r="L10" s="9"/>
    </row>
    <row r="11" spans="1:12" ht="12.75">
      <c r="A11" s="9" t="s">
        <v>146</v>
      </c>
      <c r="B11" s="113"/>
      <c r="C11" s="207">
        <v>0.825</v>
      </c>
      <c r="D11" s="113" t="s">
        <v>147</v>
      </c>
      <c r="E11" s="9"/>
      <c r="F11" s="9"/>
      <c r="G11" s="9"/>
      <c r="H11" s="9"/>
      <c r="I11" s="9"/>
      <c r="J11" s="9"/>
      <c r="K11" s="9"/>
      <c r="L11" s="9"/>
    </row>
    <row r="12" spans="1:12" ht="13.5" thickBo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12.75">
      <c r="A13" s="226" t="s">
        <v>162</v>
      </c>
      <c r="B13" s="227"/>
      <c r="C13" s="227"/>
      <c r="D13" s="228"/>
      <c r="E13" s="9"/>
      <c r="F13" s="9"/>
      <c r="G13" s="9"/>
      <c r="H13" s="9"/>
      <c r="I13" s="9"/>
      <c r="J13" s="9"/>
      <c r="K13" s="9"/>
      <c r="L13" s="9"/>
    </row>
    <row r="14" spans="1:12" ht="13.5" thickBot="1">
      <c r="A14" s="203" t="s">
        <v>163</v>
      </c>
      <c r="B14" s="204" t="s">
        <v>133</v>
      </c>
      <c r="C14" s="204" t="s">
        <v>134</v>
      </c>
      <c r="D14" s="205" t="s">
        <v>139</v>
      </c>
      <c r="E14" s="9"/>
      <c r="F14" s="9"/>
      <c r="G14" s="9"/>
      <c r="H14" s="9"/>
      <c r="I14" s="9"/>
      <c r="J14" s="9"/>
      <c r="K14" s="9"/>
      <c r="L14" s="9"/>
    </row>
    <row r="15" spans="1:12" ht="12.75">
      <c r="A15" s="222" t="s">
        <v>164</v>
      </c>
      <c r="B15" s="193">
        <v>120</v>
      </c>
      <c r="C15" s="193">
        <v>200</v>
      </c>
      <c r="D15" s="194">
        <v>200</v>
      </c>
      <c r="E15" s="9"/>
      <c r="F15" s="9"/>
      <c r="G15" s="9"/>
      <c r="H15" s="9"/>
      <c r="I15" s="9"/>
      <c r="J15" s="9"/>
      <c r="K15" s="9"/>
      <c r="L15" s="9"/>
    </row>
    <row r="16" spans="1:12" ht="12.75">
      <c r="A16" s="198" t="s">
        <v>159</v>
      </c>
      <c r="B16" s="196">
        <v>8000</v>
      </c>
      <c r="C16" s="196">
        <v>8000</v>
      </c>
      <c r="D16" s="197">
        <v>16000</v>
      </c>
      <c r="E16" s="9"/>
      <c r="F16" s="9"/>
      <c r="G16" s="9"/>
      <c r="H16" s="9"/>
      <c r="I16" s="9"/>
      <c r="J16" s="9"/>
      <c r="K16" s="9"/>
      <c r="L16" s="9"/>
    </row>
    <row r="17" spans="1:12" ht="13.5" thickBot="1">
      <c r="A17" s="201" t="s">
        <v>165</v>
      </c>
      <c r="B17" s="204">
        <v>3000</v>
      </c>
      <c r="C17" s="204">
        <v>4000</v>
      </c>
      <c r="D17" s="205">
        <v>4200</v>
      </c>
      <c r="E17" s="9"/>
      <c r="F17" s="9"/>
      <c r="G17" s="9"/>
      <c r="H17" s="9"/>
      <c r="I17" s="9"/>
      <c r="J17" s="9"/>
      <c r="K17" s="9"/>
      <c r="L17" s="9"/>
    </row>
    <row r="18" spans="1:12" ht="13.5" thickBo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3.5" thickBot="1">
      <c r="A19" s="229" t="s">
        <v>166</v>
      </c>
      <c r="B19" s="230"/>
      <c r="C19" s="230"/>
      <c r="D19" s="231"/>
      <c r="E19" s="9"/>
      <c r="F19" s="9"/>
      <c r="G19" s="9"/>
      <c r="H19" s="9"/>
      <c r="I19" s="9"/>
      <c r="J19" s="9"/>
      <c r="K19" s="9"/>
      <c r="L19" s="9"/>
    </row>
    <row r="20" spans="1:12" ht="13.5" thickBot="1">
      <c r="A20" s="198"/>
      <c r="B20" s="204" t="s">
        <v>133</v>
      </c>
      <c r="C20" s="204" t="s">
        <v>134</v>
      </c>
      <c r="D20" s="205" t="s">
        <v>139</v>
      </c>
      <c r="E20" s="9"/>
      <c r="F20" s="9"/>
      <c r="G20" s="9"/>
      <c r="H20" s="9"/>
      <c r="I20" s="9"/>
      <c r="J20" s="9"/>
      <c r="K20" s="9"/>
      <c r="L20" s="9"/>
    </row>
    <row r="21" spans="1:12" ht="12.75">
      <c r="A21" s="198"/>
      <c r="B21" s="196"/>
      <c r="C21" s="196"/>
      <c r="D21" s="197"/>
      <c r="E21" s="9"/>
      <c r="F21" s="9"/>
      <c r="G21" s="9"/>
      <c r="H21" s="9"/>
      <c r="I21" s="9"/>
      <c r="J21" s="9"/>
      <c r="K21" s="9"/>
      <c r="L21" s="9"/>
    </row>
    <row r="22" spans="1:12" ht="12.75">
      <c r="A22" s="198" t="s">
        <v>167</v>
      </c>
      <c r="B22" s="199">
        <f>+B4*B5</f>
        <v>2250000</v>
      </c>
      <c r="C22" s="199">
        <f>+C4*C5</f>
        <v>3800000</v>
      </c>
      <c r="D22" s="200">
        <f>+D4*D5</f>
        <v>2190000</v>
      </c>
      <c r="E22" s="9"/>
      <c r="F22" s="9"/>
      <c r="G22" s="9"/>
      <c r="H22" s="9"/>
      <c r="I22" s="9"/>
      <c r="J22" s="9"/>
      <c r="K22" s="9"/>
      <c r="L22" s="9"/>
    </row>
    <row r="23" spans="1:12" ht="12.75">
      <c r="A23" s="198"/>
      <c r="B23" s="199"/>
      <c r="C23" s="199"/>
      <c r="D23" s="200"/>
      <c r="E23" s="9"/>
      <c r="F23" s="9"/>
      <c r="G23" s="9"/>
      <c r="H23" s="9"/>
      <c r="I23" s="9"/>
      <c r="J23" s="9"/>
      <c r="K23" s="9"/>
      <c r="L23" s="9"/>
    </row>
    <row r="24" spans="1:12" ht="12.75">
      <c r="A24" s="198" t="s">
        <v>168</v>
      </c>
      <c r="B24" s="199">
        <f>+B4*B6</f>
        <v>1600000</v>
      </c>
      <c r="C24" s="199">
        <f>+C4*C6</f>
        <v>3360000</v>
      </c>
      <c r="D24" s="200">
        <f>+D4*D6</f>
        <v>1950000</v>
      </c>
      <c r="E24" s="9"/>
      <c r="F24" s="9"/>
      <c r="G24" s="9"/>
      <c r="H24" s="9"/>
      <c r="I24" s="9"/>
      <c r="J24" s="9"/>
      <c r="K24" s="9"/>
      <c r="L24" s="9"/>
    </row>
    <row r="25" spans="1:12" ht="12.75">
      <c r="A25" s="198"/>
      <c r="B25" s="199"/>
      <c r="C25" s="199"/>
      <c r="D25" s="200"/>
      <c r="E25" s="9"/>
      <c r="F25" s="9"/>
      <c r="G25" s="9"/>
      <c r="H25" s="9"/>
      <c r="I25" s="9"/>
      <c r="J25" s="9"/>
      <c r="K25" s="9"/>
      <c r="L25" s="9"/>
    </row>
    <row r="26" spans="1:12" ht="12.75">
      <c r="A26" s="198" t="s">
        <v>170</v>
      </c>
      <c r="B26" s="199">
        <f>+B22-B24</f>
        <v>650000</v>
      </c>
      <c r="C26" s="199">
        <f>+C22-C24</f>
        <v>440000</v>
      </c>
      <c r="D26" s="200">
        <f>+D22-D24</f>
        <v>240000</v>
      </c>
      <c r="E26" s="9"/>
      <c r="F26" s="9"/>
      <c r="G26" s="9"/>
      <c r="H26" s="9"/>
      <c r="I26" s="9"/>
      <c r="J26" s="9"/>
      <c r="K26" s="9"/>
      <c r="L26" s="9"/>
    </row>
    <row r="27" spans="1:12" ht="12.75">
      <c r="A27" s="198"/>
      <c r="B27" s="199"/>
      <c r="C27" s="199"/>
      <c r="D27" s="200"/>
      <c r="E27" s="9"/>
      <c r="F27" s="9"/>
      <c r="G27" s="9"/>
      <c r="H27" s="9"/>
      <c r="I27" s="9"/>
      <c r="J27" s="9"/>
      <c r="K27" s="9"/>
      <c r="L27" s="9"/>
    </row>
    <row r="28" spans="1:12" ht="12.75">
      <c r="A28" s="198" t="s">
        <v>169</v>
      </c>
      <c r="B28" s="199">
        <f>+B4*B7*$C$10</f>
        <v>120000</v>
      </c>
      <c r="C28" s="199">
        <f>+C4*C7*$C$10</f>
        <v>240000</v>
      </c>
      <c r="D28" s="200">
        <f>+D4*D7*$C$10</f>
        <v>144000</v>
      </c>
      <c r="E28" s="9">
        <f>SUM(B28:D28)</f>
        <v>504000</v>
      </c>
      <c r="F28" s="9"/>
      <c r="G28" s="9"/>
      <c r="H28" s="9"/>
      <c r="I28" s="9"/>
      <c r="J28" s="9"/>
      <c r="K28" s="9"/>
      <c r="L28" s="9"/>
    </row>
    <row r="29" spans="1:12" ht="12.75">
      <c r="A29" s="198" t="s">
        <v>151</v>
      </c>
      <c r="B29" s="199">
        <f>+B4*B8*$C$11</f>
        <v>288750</v>
      </c>
      <c r="C29" s="199">
        <f>+C4*C8*$C$11</f>
        <v>99000</v>
      </c>
      <c r="D29" s="200">
        <f>+D4*D8*$C$11</f>
        <v>49500</v>
      </c>
      <c r="E29" s="9">
        <f>SUM(B29:D29)</f>
        <v>437250</v>
      </c>
      <c r="F29" s="9"/>
      <c r="G29" s="9"/>
      <c r="H29" s="9"/>
      <c r="I29" s="9"/>
      <c r="J29" s="9"/>
      <c r="K29" s="9"/>
      <c r="L29" s="9"/>
    </row>
    <row r="30" spans="1:12" ht="12.75">
      <c r="A30" s="198"/>
      <c r="B30" s="199"/>
      <c r="C30" s="199"/>
      <c r="D30" s="200"/>
      <c r="E30" s="225">
        <f>+E29+E28</f>
        <v>941250</v>
      </c>
      <c r="F30" s="9"/>
      <c r="G30" s="9"/>
      <c r="H30" s="9"/>
      <c r="I30" s="9"/>
      <c r="J30" s="9"/>
      <c r="K30" s="9"/>
      <c r="L30" s="9"/>
    </row>
    <row r="31" spans="1:12" ht="13.5" thickBot="1">
      <c r="A31" s="201" t="s">
        <v>171</v>
      </c>
      <c r="B31" s="223">
        <f>+B26-B28-B29</f>
        <v>241250</v>
      </c>
      <c r="C31" s="223">
        <f>+C26-C28-C29</f>
        <v>101000</v>
      </c>
      <c r="D31" s="224">
        <f>+D26-D28-D29</f>
        <v>46500</v>
      </c>
      <c r="E31" s="9"/>
      <c r="F31" s="9"/>
      <c r="G31" s="9"/>
      <c r="H31" s="9"/>
      <c r="I31" s="9"/>
      <c r="J31" s="9"/>
      <c r="K31" s="9"/>
      <c r="L31" s="9"/>
    </row>
    <row r="32" spans="1:12" ht="13.5" thickBo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13.5" thickBot="1">
      <c r="A33" s="229" t="s">
        <v>172</v>
      </c>
      <c r="B33" s="230"/>
      <c r="C33" s="230"/>
      <c r="D33" s="231"/>
      <c r="E33" s="9"/>
      <c r="F33" s="9"/>
      <c r="G33" s="9"/>
      <c r="H33" s="9"/>
      <c r="I33" s="9"/>
      <c r="J33" s="9"/>
      <c r="K33" s="9"/>
      <c r="L33" s="9"/>
    </row>
    <row r="34" spans="1:12" ht="13.5" thickBot="1">
      <c r="A34" s="198"/>
      <c r="B34" s="204" t="s">
        <v>133</v>
      </c>
      <c r="C34" s="204" t="s">
        <v>134</v>
      </c>
      <c r="D34" s="205" t="s">
        <v>139</v>
      </c>
      <c r="E34" s="9"/>
      <c r="F34" s="9"/>
      <c r="G34" s="9"/>
      <c r="H34" s="9"/>
      <c r="I34" s="9"/>
      <c r="J34" s="9"/>
      <c r="K34" s="9"/>
      <c r="L34" s="9"/>
    </row>
    <row r="35" spans="1:12" ht="12.75">
      <c r="A35" s="198"/>
      <c r="B35" s="196"/>
      <c r="C35" s="196"/>
      <c r="D35" s="197"/>
      <c r="E35" s="9"/>
      <c r="F35" s="9"/>
      <c r="G35" s="9"/>
      <c r="H35" s="9"/>
      <c r="I35" s="9"/>
      <c r="J35" s="9"/>
      <c r="K35" s="9"/>
      <c r="L35" s="9"/>
    </row>
    <row r="36" spans="1:12" ht="12.75">
      <c r="A36" s="198" t="s">
        <v>167</v>
      </c>
      <c r="B36" s="199">
        <f>+B22</f>
        <v>2250000</v>
      </c>
      <c r="C36" s="199">
        <f>+C22</f>
        <v>3800000</v>
      </c>
      <c r="D36" s="200">
        <f>+D22</f>
        <v>2190000</v>
      </c>
      <c r="E36" s="9"/>
      <c r="F36" s="9"/>
      <c r="G36" s="9"/>
      <c r="H36" s="9"/>
      <c r="I36" s="9"/>
      <c r="J36" s="9"/>
      <c r="K36" s="9"/>
      <c r="L36" s="9"/>
    </row>
    <row r="37" spans="1:12" ht="12.75">
      <c r="A37" s="198"/>
      <c r="B37" s="199"/>
      <c r="C37" s="199"/>
      <c r="D37" s="200"/>
      <c r="E37" s="9"/>
      <c r="F37" s="9"/>
      <c r="G37" s="9"/>
      <c r="H37" s="9"/>
      <c r="I37" s="9"/>
      <c r="J37" s="9"/>
      <c r="K37" s="9"/>
      <c r="L37" s="9"/>
    </row>
    <row r="38" spans="1:12" ht="12.75">
      <c r="A38" s="198" t="s">
        <v>168</v>
      </c>
      <c r="B38" s="199">
        <f>+B24</f>
        <v>1600000</v>
      </c>
      <c r="C38" s="199">
        <f>+C24</f>
        <v>3360000</v>
      </c>
      <c r="D38" s="200">
        <f>+D24</f>
        <v>1950000</v>
      </c>
      <c r="E38" s="9"/>
      <c r="F38" s="9"/>
      <c r="G38" s="9"/>
      <c r="H38" s="9"/>
      <c r="I38" s="9"/>
      <c r="J38" s="9"/>
      <c r="K38" s="9"/>
      <c r="L38" s="9"/>
    </row>
    <row r="39" spans="1:12" ht="12.75">
      <c r="A39" s="198"/>
      <c r="B39" s="199"/>
      <c r="C39" s="199"/>
      <c r="D39" s="200"/>
      <c r="E39" s="9"/>
      <c r="F39" s="9"/>
      <c r="G39" s="9"/>
      <c r="H39" s="9"/>
      <c r="I39" s="9"/>
      <c r="J39" s="9"/>
      <c r="K39" s="9"/>
      <c r="L39" s="9"/>
    </row>
    <row r="40" spans="1:12" ht="12.75">
      <c r="A40" s="198" t="s">
        <v>170</v>
      </c>
      <c r="B40" s="199">
        <f>+B36-B38</f>
        <v>650000</v>
      </c>
      <c r="C40" s="199">
        <f>+C36-C38</f>
        <v>440000</v>
      </c>
      <c r="D40" s="200">
        <f>+D36-D38</f>
        <v>240000</v>
      </c>
      <c r="E40" s="9"/>
      <c r="F40" s="9"/>
      <c r="G40" s="9"/>
      <c r="H40" s="9"/>
      <c r="I40" s="9"/>
      <c r="J40" s="9"/>
      <c r="K40" s="9"/>
      <c r="L40" s="9"/>
    </row>
    <row r="41" spans="1:12" ht="12.75">
      <c r="A41" s="198"/>
      <c r="B41" s="199"/>
      <c r="C41" s="199"/>
      <c r="D41" s="200"/>
      <c r="E41" s="9"/>
      <c r="F41" s="9"/>
      <c r="G41" s="9"/>
      <c r="H41" s="9"/>
      <c r="I41" s="9"/>
      <c r="J41" s="9"/>
      <c r="K41" s="9"/>
      <c r="L41" s="9"/>
    </row>
    <row r="42" spans="1:12" ht="12.75">
      <c r="A42" s="198" t="s">
        <v>169</v>
      </c>
      <c r="B42" s="199">
        <f>+B4*B7*$J$4</f>
        <v>85000</v>
      </c>
      <c r="C42" s="199">
        <f>+C4*C7*$J$4</f>
        <v>170000</v>
      </c>
      <c r="D42" s="200">
        <f>+D4*D7*$J$4</f>
        <v>102000</v>
      </c>
      <c r="E42" s="9">
        <f>SUM(B42:D42)</f>
        <v>357000</v>
      </c>
      <c r="F42" s="9"/>
      <c r="G42" s="9"/>
      <c r="H42" s="9"/>
      <c r="I42" s="9"/>
      <c r="J42" s="9"/>
      <c r="K42" s="9"/>
      <c r="L42" s="9"/>
    </row>
    <row r="43" spans="1:12" ht="12.75">
      <c r="A43" s="198" t="s">
        <v>151</v>
      </c>
      <c r="B43" s="199">
        <f>+B4*B8*$J$5</f>
        <v>210000</v>
      </c>
      <c r="C43" s="199">
        <f>+C4*C8*$J$5</f>
        <v>72000</v>
      </c>
      <c r="D43" s="200">
        <f>+D4*D8*$J$5</f>
        <v>36000</v>
      </c>
      <c r="E43" s="9">
        <f>SUM(B43:D43)</f>
        <v>318000</v>
      </c>
      <c r="F43" s="9"/>
      <c r="G43" s="9"/>
      <c r="H43" s="9"/>
      <c r="I43" s="9"/>
      <c r="J43" s="9"/>
      <c r="K43" s="9"/>
      <c r="L43" s="9"/>
    </row>
    <row r="44" spans="1:12" ht="12.75">
      <c r="A44" s="198" t="s">
        <v>152</v>
      </c>
      <c r="B44" s="199">
        <f>+B15*$J$6</f>
        <v>6000</v>
      </c>
      <c r="C44" s="199">
        <f>+C15*$J$6</f>
        <v>10000</v>
      </c>
      <c r="D44" s="200">
        <f>+D15*$J$6</f>
        <v>10000</v>
      </c>
      <c r="E44" s="9">
        <f>SUM(B44:D44)</f>
        <v>26000</v>
      </c>
      <c r="F44" s="9"/>
      <c r="G44" s="9"/>
      <c r="H44" s="9"/>
      <c r="I44" s="9"/>
      <c r="J44" s="9"/>
      <c r="K44" s="9"/>
      <c r="L44" s="9"/>
    </row>
    <row r="45" spans="1:12" ht="12.75">
      <c r="A45" s="198" t="s">
        <v>153</v>
      </c>
      <c r="B45" s="199">
        <f>+B16*$J$7</f>
        <v>39000</v>
      </c>
      <c r="C45" s="199">
        <f>+C16*$J$7</f>
        <v>39000</v>
      </c>
      <c r="D45" s="200">
        <f>+D16*$J$7</f>
        <v>78000</v>
      </c>
      <c r="E45" s="9">
        <f>SUM(B45:D45)</f>
        <v>156000</v>
      </c>
      <c r="F45" s="9"/>
      <c r="G45" s="9"/>
      <c r="H45" s="9"/>
      <c r="I45" s="9"/>
      <c r="J45" s="9"/>
      <c r="K45" s="9"/>
      <c r="L45" s="9"/>
    </row>
    <row r="46" spans="1:12" ht="12.75">
      <c r="A46" s="198" t="s">
        <v>154</v>
      </c>
      <c r="B46" s="199">
        <f>+B17*$J$8</f>
        <v>22500</v>
      </c>
      <c r="C46" s="199">
        <f>+C17*$J$8</f>
        <v>30000</v>
      </c>
      <c r="D46" s="200">
        <f>+D17*$J$8</f>
        <v>31500</v>
      </c>
      <c r="E46" s="9">
        <f>SUM(B46:D46)</f>
        <v>84000</v>
      </c>
      <c r="F46" s="9"/>
      <c r="G46" s="9"/>
      <c r="H46" s="9"/>
      <c r="I46" s="9"/>
      <c r="J46" s="9"/>
      <c r="K46" s="9"/>
      <c r="L46" s="9"/>
    </row>
    <row r="47" spans="1:12" ht="12.75">
      <c r="A47" s="198"/>
      <c r="B47" s="199"/>
      <c r="C47" s="199"/>
      <c r="D47" s="200"/>
      <c r="E47" s="225">
        <f>SUM(E42:E46)</f>
        <v>941000</v>
      </c>
      <c r="F47" s="9"/>
      <c r="G47" s="9"/>
      <c r="H47" s="9"/>
      <c r="I47" s="9"/>
      <c r="J47" s="9"/>
      <c r="K47" s="9"/>
      <c r="L47" s="9"/>
    </row>
    <row r="48" spans="1:12" ht="13.5" thickBot="1">
      <c r="A48" s="201" t="s">
        <v>171</v>
      </c>
      <c r="B48" s="223">
        <f>+B40-B42-B43-B44-B45-B46</f>
        <v>287500</v>
      </c>
      <c r="C48" s="223">
        <f>+C40-C42-C43-C44-C45-C46</f>
        <v>119000</v>
      </c>
      <c r="D48" s="224">
        <f>+D40-D42-D43-D44-D45-D46</f>
        <v>-17500</v>
      </c>
      <c r="E48" s="9"/>
      <c r="F48" s="9"/>
      <c r="G48" s="9"/>
      <c r="H48" s="9"/>
      <c r="I48" s="9"/>
      <c r="J48" s="9"/>
      <c r="K48" s="9"/>
      <c r="L48" s="9"/>
    </row>
    <row r="49" spans="1:12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2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1:12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1:12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1:12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1:12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</row>
  </sheetData>
  <sheetProtection/>
  <mergeCells count="5">
    <mergeCell ref="F2:I2"/>
    <mergeCell ref="A13:D13"/>
    <mergeCell ref="A19:D19"/>
    <mergeCell ref="A33:D33"/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J33" sqref="J33"/>
    </sheetView>
  </sheetViews>
  <sheetFormatPr defaultColWidth="9.33203125" defaultRowHeight="12.75"/>
  <cols>
    <col min="1" max="1" width="16.16015625" style="0" bestFit="1" customWidth="1"/>
    <col min="2" max="2" width="7.83203125" style="1" bestFit="1" customWidth="1"/>
    <col min="6" max="6" width="10.66015625" style="0" bestFit="1" customWidth="1"/>
    <col min="9" max="9" width="9.5" style="0" bestFit="1" customWidth="1"/>
    <col min="12" max="12" width="13" style="0" bestFit="1" customWidth="1"/>
    <col min="13" max="14" width="11.83203125" style="0" customWidth="1"/>
  </cols>
  <sheetData>
    <row r="1" ht="18.75" thickBot="1">
      <c r="A1" s="17" t="s">
        <v>123</v>
      </c>
    </row>
    <row r="2" spans="1:14" ht="12.75">
      <c r="A2" s="36"/>
      <c r="B2" s="12"/>
      <c r="C2" s="232" t="s">
        <v>74</v>
      </c>
      <c r="D2" s="233"/>
      <c r="E2" s="234"/>
      <c r="F2" s="232" t="s">
        <v>84</v>
      </c>
      <c r="G2" s="233"/>
      <c r="H2" s="234"/>
      <c r="I2" s="232" t="s">
        <v>75</v>
      </c>
      <c r="J2" s="233"/>
      <c r="K2" s="234"/>
      <c r="L2" s="232" t="s">
        <v>77</v>
      </c>
      <c r="M2" s="233"/>
      <c r="N2" s="234"/>
    </row>
    <row r="3" spans="1:14" ht="12.75">
      <c r="A3" s="37"/>
      <c r="B3" s="27" t="s">
        <v>69</v>
      </c>
      <c r="C3" s="29" t="s">
        <v>68</v>
      </c>
      <c r="D3" s="27" t="s">
        <v>72</v>
      </c>
      <c r="E3" s="30" t="s">
        <v>60</v>
      </c>
      <c r="F3" s="29" t="s">
        <v>68</v>
      </c>
      <c r="G3" s="27" t="s">
        <v>72</v>
      </c>
      <c r="H3" s="30" t="s">
        <v>60</v>
      </c>
      <c r="I3" s="29" t="s">
        <v>68</v>
      </c>
      <c r="J3" s="27" t="s">
        <v>72</v>
      </c>
      <c r="K3" s="30" t="s">
        <v>60</v>
      </c>
      <c r="L3" s="29" t="s">
        <v>85</v>
      </c>
      <c r="M3" s="45" t="s">
        <v>78</v>
      </c>
      <c r="N3" s="30" t="s">
        <v>76</v>
      </c>
    </row>
    <row r="4" spans="1:14" ht="12.75">
      <c r="A4" s="38" t="s">
        <v>63</v>
      </c>
      <c r="B4" s="25" t="s">
        <v>70</v>
      </c>
      <c r="C4" s="42">
        <v>400</v>
      </c>
      <c r="D4" s="26">
        <v>0.16</v>
      </c>
      <c r="E4" s="32">
        <f>+C4*D4</f>
        <v>64</v>
      </c>
      <c r="F4" s="41">
        <f>+I4</f>
        <v>428</v>
      </c>
      <c r="G4" s="26">
        <f>+D4</f>
        <v>0.16</v>
      </c>
      <c r="H4" s="32">
        <f>+F4*G4</f>
        <v>68.48</v>
      </c>
      <c r="I4" s="31">
        <v>428</v>
      </c>
      <c r="J4" s="26">
        <v>0.18</v>
      </c>
      <c r="K4" s="32">
        <f>+I4*J4</f>
        <v>77.03999999999999</v>
      </c>
      <c r="L4" s="35">
        <f>+H4-E4</f>
        <v>4.480000000000004</v>
      </c>
      <c r="M4" s="20">
        <f>+K4-H4</f>
        <v>8.559999999999988</v>
      </c>
      <c r="N4" s="32">
        <f>SUM(L4:M4)</f>
        <v>13.039999999999992</v>
      </c>
    </row>
    <row r="5" spans="1:14" ht="12.75">
      <c r="A5" s="38" t="s">
        <v>64</v>
      </c>
      <c r="B5" s="25" t="s">
        <v>70</v>
      </c>
      <c r="C5" s="42">
        <v>700</v>
      </c>
      <c r="D5" s="26">
        <v>0.1</v>
      </c>
      <c r="E5" s="32">
        <f>+C5*D5</f>
        <v>70</v>
      </c>
      <c r="F5" s="41">
        <f>+I5</f>
        <v>742</v>
      </c>
      <c r="G5" s="26">
        <f>+D5</f>
        <v>0.1</v>
      </c>
      <c r="H5" s="32">
        <f>+F5*G5</f>
        <v>74.2</v>
      </c>
      <c r="I5" s="31">
        <v>742</v>
      </c>
      <c r="J5" s="26">
        <v>0.12</v>
      </c>
      <c r="K5" s="32">
        <f>+I5*J5</f>
        <v>89.03999999999999</v>
      </c>
      <c r="L5" s="35">
        <f>+H5-E5</f>
        <v>4.200000000000003</v>
      </c>
      <c r="M5" s="20">
        <f>+K5-H5</f>
        <v>14.83999999999999</v>
      </c>
      <c r="N5" s="32">
        <f>SUM(L5:M5)</f>
        <v>19.039999999999992</v>
      </c>
    </row>
    <row r="6" spans="1:14" ht="12.75">
      <c r="A6" s="38" t="s">
        <v>65</v>
      </c>
      <c r="B6" s="25" t="s">
        <v>70</v>
      </c>
      <c r="C6" s="42">
        <v>99</v>
      </c>
      <c r="D6" s="26">
        <v>0.332</v>
      </c>
      <c r="E6" s="32">
        <f>+C6*D6</f>
        <v>32.868</v>
      </c>
      <c r="F6" s="41">
        <f>+I6</f>
        <v>125</v>
      </c>
      <c r="G6" s="26">
        <f>+D6</f>
        <v>0.332</v>
      </c>
      <c r="H6" s="32">
        <f>+F6*G6</f>
        <v>41.5</v>
      </c>
      <c r="I6" s="31">
        <v>125</v>
      </c>
      <c r="J6" s="26">
        <v>0.328</v>
      </c>
      <c r="K6" s="32">
        <f>+I6*J6</f>
        <v>41</v>
      </c>
      <c r="L6" s="35">
        <f>+H6-E6</f>
        <v>8.631999999999998</v>
      </c>
      <c r="M6" s="20">
        <f>+K6-H6</f>
        <v>-0.5</v>
      </c>
      <c r="N6" s="32">
        <f>SUM(L6:M6)</f>
        <v>8.131999999999998</v>
      </c>
    </row>
    <row r="7" spans="1:14" ht="12.75">
      <c r="A7" s="38" t="s">
        <v>66</v>
      </c>
      <c r="B7" s="25" t="s">
        <v>70</v>
      </c>
      <c r="C7" s="42">
        <v>1</v>
      </c>
      <c r="D7" s="26">
        <v>2</v>
      </c>
      <c r="E7" s="32">
        <f>+C7*D7</f>
        <v>2</v>
      </c>
      <c r="F7" s="41">
        <f>+I7</f>
        <v>1</v>
      </c>
      <c r="G7" s="26">
        <f>+D7</f>
        <v>2</v>
      </c>
      <c r="H7" s="32">
        <f>+F7*G7</f>
        <v>2</v>
      </c>
      <c r="I7" s="31">
        <v>1</v>
      </c>
      <c r="J7" s="26">
        <v>0.95</v>
      </c>
      <c r="K7" s="32">
        <f>+I7*J7</f>
        <v>0.95</v>
      </c>
      <c r="L7" s="35">
        <f>+H7-E7</f>
        <v>0</v>
      </c>
      <c r="M7" s="20">
        <f>+K7-H7</f>
        <v>-1.05</v>
      </c>
      <c r="N7" s="32">
        <f>SUM(L7:M7)</f>
        <v>-1.05</v>
      </c>
    </row>
    <row r="8" spans="1:14" ht="12.75">
      <c r="A8" s="38" t="s">
        <v>67</v>
      </c>
      <c r="B8" s="25" t="s">
        <v>71</v>
      </c>
      <c r="C8" s="42">
        <v>18</v>
      </c>
      <c r="D8" s="26">
        <v>3.25</v>
      </c>
      <c r="E8" s="32">
        <f>+C8*D8</f>
        <v>58.5</v>
      </c>
      <c r="F8" s="41">
        <f>+I8</f>
        <v>20</v>
      </c>
      <c r="G8" s="26">
        <f>+D8</f>
        <v>3.25</v>
      </c>
      <c r="H8" s="32">
        <f>+F8*G8</f>
        <v>65</v>
      </c>
      <c r="I8" s="31">
        <v>20</v>
      </c>
      <c r="J8" s="26">
        <v>3</v>
      </c>
      <c r="K8" s="32">
        <f>+I8*J8</f>
        <v>60</v>
      </c>
      <c r="L8" s="35">
        <f>+H8-E8</f>
        <v>6.5</v>
      </c>
      <c r="M8" s="20">
        <f>+K8-H8</f>
        <v>-5</v>
      </c>
      <c r="N8" s="32">
        <f>SUM(L8:M8)</f>
        <v>1.5</v>
      </c>
    </row>
    <row r="9" spans="1:14" ht="13.5" thickBot="1">
      <c r="A9" s="39" t="s">
        <v>76</v>
      </c>
      <c r="B9" s="40"/>
      <c r="C9" s="33">
        <f>SUM(C4:C7)</f>
        <v>1200</v>
      </c>
      <c r="D9" s="28"/>
      <c r="E9" s="34">
        <f>SUM(E4:E8)</f>
        <v>227.368</v>
      </c>
      <c r="F9" s="33">
        <f>SUM(F4:F7)</f>
        <v>1296</v>
      </c>
      <c r="G9" s="28"/>
      <c r="H9" s="34">
        <f>SUM(H4:H8)</f>
        <v>251.18</v>
      </c>
      <c r="I9" s="33">
        <f>SUM(I4:I7)</f>
        <v>1296</v>
      </c>
      <c r="J9" s="28"/>
      <c r="K9" s="34">
        <f>SUM(K4:K8)</f>
        <v>268.03</v>
      </c>
      <c r="L9" s="46">
        <f>SUM(L4:L8)</f>
        <v>23.812000000000005</v>
      </c>
      <c r="M9" s="46">
        <f>SUM(M4:M8)</f>
        <v>16.849999999999977</v>
      </c>
      <c r="N9" s="34">
        <f>SUM(N4:N8)</f>
        <v>40.661999999999985</v>
      </c>
    </row>
    <row r="10" spans="1:14" ht="13.5" thickBot="1">
      <c r="A10" s="39" t="s">
        <v>79</v>
      </c>
      <c r="B10" s="40"/>
      <c r="C10" s="33"/>
      <c r="D10" s="28"/>
      <c r="E10" s="34"/>
      <c r="F10" s="33"/>
      <c r="G10" s="28"/>
      <c r="H10" s="34">
        <f>+H9-E9</f>
        <v>23.812000000000012</v>
      </c>
      <c r="I10" s="33"/>
      <c r="J10" s="28"/>
      <c r="K10" s="34">
        <f>+K9-H9</f>
        <v>16.849999999999966</v>
      </c>
      <c r="L10" s="33"/>
      <c r="M10" s="28"/>
      <c r="N10" s="34">
        <f>+H10+K10</f>
        <v>40.66199999999998</v>
      </c>
    </row>
    <row r="11" spans="1:11" ht="12.75">
      <c r="A11" t="s">
        <v>73</v>
      </c>
      <c r="B11" s="1" t="s">
        <v>4</v>
      </c>
      <c r="C11" s="43">
        <v>0.03</v>
      </c>
      <c r="D11" s="24"/>
      <c r="E11" s="18"/>
      <c r="F11" s="43">
        <f>+C11</f>
        <v>0.03</v>
      </c>
      <c r="G11" s="24"/>
      <c r="H11" s="24"/>
      <c r="I11" s="43">
        <f>1-I13/I9</f>
        <v>0.0864197530864198</v>
      </c>
      <c r="J11" s="24"/>
      <c r="K11" s="18"/>
    </row>
    <row r="12" spans="1:11" ht="12.75">
      <c r="A12" t="s">
        <v>81</v>
      </c>
      <c r="C12">
        <f>+C9*C11</f>
        <v>36</v>
      </c>
      <c r="D12" s="18"/>
      <c r="E12" s="18"/>
      <c r="F12">
        <f>+F9*F11</f>
        <v>38.879999999999995</v>
      </c>
      <c r="G12" s="24"/>
      <c r="H12" s="24"/>
      <c r="I12">
        <f>+I9-I13</f>
        <v>112</v>
      </c>
      <c r="J12" s="24"/>
      <c r="K12" s="18"/>
    </row>
    <row r="13" spans="1:14" ht="12.75">
      <c r="A13" t="s">
        <v>60</v>
      </c>
      <c r="B13" s="1" t="s">
        <v>70</v>
      </c>
      <c r="C13">
        <f>C9-C12</f>
        <v>1164</v>
      </c>
      <c r="D13" s="24">
        <f>+E13/C13</f>
        <v>0.19533333333333333</v>
      </c>
      <c r="E13" s="18">
        <f>+E9</f>
        <v>227.368</v>
      </c>
      <c r="F13">
        <f>F9-F12</f>
        <v>1257.12</v>
      </c>
      <c r="G13" s="24">
        <f>+H13/F13</f>
        <v>0.19980590556191932</v>
      </c>
      <c r="H13" s="18">
        <f>+H9</f>
        <v>251.18</v>
      </c>
      <c r="I13" s="44">
        <v>1184</v>
      </c>
      <c r="J13" s="24">
        <f>+K13/I13</f>
        <v>0.22637668918918916</v>
      </c>
      <c r="K13" s="18">
        <f>+K9</f>
        <v>268.03</v>
      </c>
      <c r="L13" s="24"/>
      <c r="M13" s="24"/>
      <c r="N13" s="24"/>
    </row>
    <row r="14" spans="1:14" ht="12.75">
      <c r="A14" t="s">
        <v>79</v>
      </c>
      <c r="C14" s="43"/>
      <c r="G14" s="24">
        <f>+G13-D13</f>
        <v>0.0044725722285859915</v>
      </c>
      <c r="H14" s="18">
        <f>+H13-E13</f>
        <v>23.812000000000012</v>
      </c>
      <c r="I14" s="43"/>
      <c r="J14" s="24">
        <f>+J13-G13</f>
        <v>0.026570783627269834</v>
      </c>
      <c r="K14" s="18">
        <f>+K13-H13</f>
        <v>16.849999999999966</v>
      </c>
      <c r="M14" s="18"/>
      <c r="N14" s="24"/>
    </row>
    <row r="15" ht="12.75">
      <c r="F15" s="23"/>
    </row>
    <row r="16" ht="12.75">
      <c r="A16" t="s">
        <v>82</v>
      </c>
    </row>
    <row r="17" ht="12.75">
      <c r="A17" t="s">
        <v>83</v>
      </c>
    </row>
    <row r="18" ht="12.75">
      <c r="A18" t="s">
        <v>126</v>
      </c>
    </row>
    <row r="21" ht="12.75">
      <c r="A21" t="s">
        <v>127</v>
      </c>
    </row>
    <row r="22" ht="12.75">
      <c r="A22" t="s">
        <v>128</v>
      </c>
    </row>
    <row r="23" ht="12.75">
      <c r="A23" t="s">
        <v>129</v>
      </c>
    </row>
    <row r="24" ht="12.75">
      <c r="A24" t="s">
        <v>131</v>
      </c>
    </row>
    <row r="25" ht="12.75">
      <c r="A25" t="s">
        <v>132</v>
      </c>
    </row>
    <row r="26" ht="12.75">
      <c r="A26" t="s">
        <v>130</v>
      </c>
    </row>
  </sheetData>
  <sheetProtection/>
  <mergeCells count="4">
    <mergeCell ref="L2:N2"/>
    <mergeCell ref="C2:E2"/>
    <mergeCell ref="I2:K2"/>
    <mergeCell ref="F2:H2"/>
  </mergeCells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5"/>
  <sheetViews>
    <sheetView zoomScalePageLayoutView="0" workbookViewId="0" topLeftCell="A1">
      <pane xSplit="1" topLeftCell="B1" activePane="topRight" state="frozen"/>
      <selection pane="topLeft" activeCell="A15" sqref="A15"/>
      <selection pane="topRight" activeCell="J16" sqref="J16"/>
    </sheetView>
  </sheetViews>
  <sheetFormatPr defaultColWidth="9.33203125" defaultRowHeight="12.75"/>
  <cols>
    <col min="1" max="1" width="21.33203125" style="0" customWidth="1"/>
    <col min="2" max="5" width="12.83203125" style="0" customWidth="1"/>
    <col min="6" max="25" width="11.83203125" style="0" customWidth="1"/>
  </cols>
  <sheetData>
    <row r="1" ht="18.75" thickBot="1">
      <c r="A1" s="17" t="s">
        <v>122</v>
      </c>
    </row>
    <row r="2" spans="1:13" ht="12.75">
      <c r="A2" s="14"/>
      <c r="B2" s="236" t="s">
        <v>87</v>
      </c>
      <c r="C2" s="236"/>
      <c r="D2" s="236" t="s">
        <v>89</v>
      </c>
      <c r="E2" s="236"/>
      <c r="F2" s="67" t="s">
        <v>60</v>
      </c>
      <c r="G2" s="67"/>
      <c r="H2" s="238" t="s">
        <v>79</v>
      </c>
      <c r="J2" s="53"/>
      <c r="K2" s="53"/>
      <c r="L2" s="53"/>
      <c r="M2" s="53"/>
    </row>
    <row r="3" spans="1:13" ht="12.75">
      <c r="A3" s="13"/>
      <c r="B3" s="49" t="s">
        <v>88</v>
      </c>
      <c r="C3" s="49" t="s">
        <v>86</v>
      </c>
      <c r="D3" s="49" t="s">
        <v>88</v>
      </c>
      <c r="E3" s="49" t="s">
        <v>86</v>
      </c>
      <c r="F3" s="49" t="s">
        <v>88</v>
      </c>
      <c r="G3" s="49" t="s">
        <v>86</v>
      </c>
      <c r="H3" s="239"/>
      <c r="J3" s="53"/>
      <c r="K3" s="53"/>
      <c r="L3" s="53"/>
      <c r="M3" s="53"/>
    </row>
    <row r="4" spans="1:13" ht="12.75">
      <c r="A4" s="79" t="s">
        <v>97</v>
      </c>
      <c r="B4" s="47">
        <v>3000</v>
      </c>
      <c r="C4" s="47">
        <v>2500</v>
      </c>
      <c r="D4" s="47">
        <v>1000</v>
      </c>
      <c r="E4" s="47">
        <v>1250</v>
      </c>
      <c r="F4" s="47">
        <f>+B4+D4</f>
        <v>4000</v>
      </c>
      <c r="G4" s="47">
        <f>+C4+E4</f>
        <v>3750</v>
      </c>
      <c r="H4" s="47">
        <f>+G4-F4</f>
        <v>-250</v>
      </c>
      <c r="J4" s="15"/>
      <c r="K4" s="15"/>
      <c r="L4" s="15"/>
      <c r="M4" s="15"/>
    </row>
    <row r="5" spans="1:13" ht="12.75">
      <c r="A5" s="52" t="s">
        <v>112</v>
      </c>
      <c r="B5" s="82">
        <f>+B4/F4</f>
        <v>0.75</v>
      </c>
      <c r="C5" s="82">
        <f>+C4/G4</f>
        <v>0.6666666666666666</v>
      </c>
      <c r="D5" s="82">
        <f>+D4/F4</f>
        <v>0.25</v>
      </c>
      <c r="E5" s="82">
        <f>+E4/G4</f>
        <v>0.3333333333333333</v>
      </c>
      <c r="F5" s="15"/>
      <c r="G5" s="15"/>
      <c r="H5" s="15"/>
      <c r="J5" s="15"/>
      <c r="K5" s="15"/>
      <c r="L5" s="15"/>
      <c r="M5" s="15"/>
    </row>
    <row r="6" spans="1:13" ht="12.75">
      <c r="A6" s="80" t="s">
        <v>118</v>
      </c>
      <c r="B6" s="96">
        <f aca="true" t="shared" si="0" ref="B6:G6">+B8/B4</f>
        <v>220</v>
      </c>
      <c r="C6" s="96">
        <f t="shared" si="0"/>
        <v>208</v>
      </c>
      <c r="D6" s="96">
        <f t="shared" si="0"/>
        <v>340</v>
      </c>
      <c r="E6" s="96">
        <f t="shared" si="0"/>
        <v>368</v>
      </c>
      <c r="F6" s="96">
        <f t="shared" si="0"/>
        <v>250</v>
      </c>
      <c r="G6" s="96">
        <f t="shared" si="0"/>
        <v>261.3333333333333</v>
      </c>
      <c r="H6" s="96">
        <f>+G6-F6</f>
        <v>11.333333333333314</v>
      </c>
      <c r="J6" s="15"/>
      <c r="K6" s="15"/>
      <c r="L6" s="15"/>
      <c r="M6" s="15"/>
    </row>
    <row r="7" spans="1:13" ht="12.75">
      <c r="A7" s="48" t="s">
        <v>90</v>
      </c>
      <c r="B7" s="15"/>
      <c r="C7" s="15"/>
      <c r="D7" s="15"/>
      <c r="E7" s="15"/>
      <c r="F7" s="15"/>
      <c r="G7" s="15"/>
      <c r="H7" s="15"/>
      <c r="J7" s="15"/>
      <c r="K7" s="15"/>
      <c r="L7" s="15"/>
      <c r="M7" s="15"/>
    </row>
    <row r="8" spans="1:8" ht="12.75">
      <c r="A8" s="22" t="s">
        <v>59</v>
      </c>
      <c r="B8" s="15">
        <v>660000</v>
      </c>
      <c r="C8" s="15">
        <v>520000</v>
      </c>
      <c r="D8" s="15">
        <v>340000</v>
      </c>
      <c r="E8" s="15">
        <v>460000</v>
      </c>
      <c r="F8" s="15">
        <f aca="true" t="shared" si="1" ref="F8:G12">+B8+D8</f>
        <v>1000000</v>
      </c>
      <c r="G8" s="15">
        <f t="shared" si="1"/>
        <v>980000</v>
      </c>
      <c r="H8" s="15">
        <f>+G8-F8</f>
        <v>-20000</v>
      </c>
    </row>
    <row r="9" spans="1:8" ht="12.75">
      <c r="A9" s="22" t="s">
        <v>91</v>
      </c>
      <c r="B9" s="15">
        <v>147000</v>
      </c>
      <c r="C9" s="15">
        <v>120000</v>
      </c>
      <c r="D9" s="15">
        <v>131000</v>
      </c>
      <c r="E9" s="15">
        <v>160000</v>
      </c>
      <c r="F9" s="15">
        <f t="shared" si="1"/>
        <v>278000</v>
      </c>
      <c r="G9" s="15">
        <f t="shared" si="1"/>
        <v>280000</v>
      </c>
      <c r="H9" s="15">
        <f aca="true" t="shared" si="2" ref="H9:H15">+G9-F9</f>
        <v>2000</v>
      </c>
    </row>
    <row r="10" spans="1:8" ht="12.75">
      <c r="A10" s="22" t="s">
        <v>67</v>
      </c>
      <c r="B10" s="15">
        <v>108000</v>
      </c>
      <c r="C10" s="15">
        <v>105000</v>
      </c>
      <c r="D10" s="15">
        <v>84000</v>
      </c>
      <c r="E10" s="15">
        <v>85000</v>
      </c>
      <c r="F10" s="15">
        <f t="shared" si="1"/>
        <v>192000</v>
      </c>
      <c r="G10" s="15">
        <f t="shared" si="1"/>
        <v>190000</v>
      </c>
      <c r="H10" s="15">
        <f t="shared" si="2"/>
        <v>-2000</v>
      </c>
    </row>
    <row r="11" spans="1:8" ht="12.75">
      <c r="A11" s="22" t="s">
        <v>93</v>
      </c>
      <c r="B11" s="15">
        <v>33000</v>
      </c>
      <c r="C11" s="15">
        <v>26000</v>
      </c>
      <c r="D11" s="15">
        <v>17000</v>
      </c>
      <c r="E11" s="15">
        <v>23000</v>
      </c>
      <c r="F11" s="15">
        <f t="shared" si="1"/>
        <v>50000</v>
      </c>
      <c r="G11" s="15">
        <f t="shared" si="1"/>
        <v>49000</v>
      </c>
      <c r="H11" s="15">
        <f t="shared" si="2"/>
        <v>-1000</v>
      </c>
    </row>
    <row r="12" spans="1:8" ht="12.75">
      <c r="A12" s="22" t="s">
        <v>92</v>
      </c>
      <c r="B12" s="15">
        <v>162000</v>
      </c>
      <c r="C12" s="15">
        <v>166000</v>
      </c>
      <c r="D12" s="15">
        <v>79000</v>
      </c>
      <c r="E12" s="15">
        <v>83000</v>
      </c>
      <c r="F12" s="15">
        <f t="shared" si="1"/>
        <v>241000</v>
      </c>
      <c r="G12" s="15">
        <f t="shared" si="1"/>
        <v>249000</v>
      </c>
      <c r="H12" s="15">
        <f t="shared" si="2"/>
        <v>8000</v>
      </c>
    </row>
    <row r="13" spans="1:8" ht="12.75">
      <c r="A13" s="68" t="s">
        <v>95</v>
      </c>
      <c r="B13" s="13">
        <f aca="true" t="shared" si="3" ref="B13:G13">+B8-SUM(B9:B12)</f>
        <v>210000</v>
      </c>
      <c r="C13" s="13">
        <f t="shared" si="3"/>
        <v>103000</v>
      </c>
      <c r="D13" s="13">
        <f t="shared" si="3"/>
        <v>29000</v>
      </c>
      <c r="E13" s="13">
        <f t="shared" si="3"/>
        <v>109000</v>
      </c>
      <c r="F13" s="13">
        <f t="shared" si="3"/>
        <v>239000</v>
      </c>
      <c r="G13" s="13">
        <f t="shared" si="3"/>
        <v>212000</v>
      </c>
      <c r="H13" s="13">
        <f t="shared" si="2"/>
        <v>-27000</v>
      </c>
    </row>
    <row r="14" spans="1:13" ht="12.75">
      <c r="A14" s="68" t="s">
        <v>94</v>
      </c>
      <c r="B14" s="13"/>
      <c r="C14" s="13"/>
      <c r="D14" s="13"/>
      <c r="E14" s="13"/>
      <c r="F14" s="13">
        <v>128000</v>
      </c>
      <c r="G14" s="13">
        <v>133000</v>
      </c>
      <c r="H14" s="13">
        <f t="shared" si="2"/>
        <v>5000</v>
      </c>
      <c r="J14" s="15"/>
      <c r="K14" s="15"/>
      <c r="L14" s="15"/>
      <c r="M14" s="15"/>
    </row>
    <row r="15" spans="1:13" ht="13.5" thickBot="1">
      <c r="A15" s="69" t="s">
        <v>61</v>
      </c>
      <c r="B15" s="16"/>
      <c r="C15" s="16"/>
      <c r="D15" s="16"/>
      <c r="E15" s="16"/>
      <c r="F15" s="16">
        <f>+F13-F14</f>
        <v>111000</v>
      </c>
      <c r="G15" s="16">
        <f>+G13-G14</f>
        <v>79000</v>
      </c>
      <c r="H15" s="16">
        <f t="shared" si="2"/>
        <v>-32000</v>
      </c>
      <c r="J15" s="15"/>
      <c r="K15" s="15"/>
      <c r="L15" s="15"/>
      <c r="M15" s="15"/>
    </row>
    <row r="16" spans="1:8" ht="12.75">
      <c r="A16" s="97" t="s">
        <v>119</v>
      </c>
      <c r="B16" s="98">
        <f aca="true" t="shared" si="4" ref="B16:G16">+B13/B8</f>
        <v>0.3181818181818182</v>
      </c>
      <c r="C16" s="98">
        <f t="shared" si="4"/>
        <v>0.19807692307692307</v>
      </c>
      <c r="D16" s="98">
        <f t="shared" si="4"/>
        <v>0.08529411764705883</v>
      </c>
      <c r="E16" s="98">
        <f t="shared" si="4"/>
        <v>0.23695652173913043</v>
      </c>
      <c r="F16" s="98">
        <f t="shared" si="4"/>
        <v>0.239</v>
      </c>
      <c r="G16" s="98">
        <f t="shared" si="4"/>
        <v>0.2163265306122449</v>
      </c>
      <c r="H16" s="98"/>
    </row>
    <row r="17" spans="1:8" ht="13.5" thickBot="1">
      <c r="A17" s="99" t="s">
        <v>120</v>
      </c>
      <c r="B17" s="100"/>
      <c r="C17" s="100"/>
      <c r="D17" s="100"/>
      <c r="E17" s="100"/>
      <c r="F17" s="100">
        <f>+F15/F8</f>
        <v>0.111</v>
      </c>
      <c r="G17" s="100">
        <f>+G15/G8</f>
        <v>0.08061224489795918</v>
      </c>
      <c r="H17" s="100"/>
    </row>
    <row r="18" spans="1:7" ht="13.5" thickBot="1">
      <c r="A18" s="9"/>
      <c r="B18" s="2"/>
      <c r="C18" s="2"/>
      <c r="D18" s="2"/>
      <c r="E18" s="2"/>
      <c r="F18" s="2"/>
      <c r="G18" s="2"/>
    </row>
    <row r="19" spans="1:7" ht="12.75">
      <c r="A19" s="67" t="s">
        <v>121</v>
      </c>
      <c r="B19" s="2"/>
      <c r="C19" s="2"/>
      <c r="D19" s="2"/>
      <c r="E19" s="2"/>
      <c r="F19" s="67" t="s">
        <v>88</v>
      </c>
      <c r="G19" s="67" t="s">
        <v>86</v>
      </c>
    </row>
    <row r="20" spans="1:7" ht="12.75">
      <c r="A20" s="13" t="s">
        <v>98</v>
      </c>
      <c r="F20" s="13">
        <f>+F4/F21</f>
        <v>33333.333333333336</v>
      </c>
      <c r="G20" s="21">
        <v>25000</v>
      </c>
    </row>
    <row r="21" spans="1:13" ht="12.75">
      <c r="A21" s="54" t="s">
        <v>96</v>
      </c>
      <c r="B21" s="3"/>
      <c r="C21" s="3"/>
      <c r="F21" s="101">
        <v>0.12</v>
      </c>
      <c r="G21" s="54">
        <f>+G4/G20</f>
        <v>0.15</v>
      </c>
      <c r="J21" s="3"/>
      <c r="K21" s="3"/>
      <c r="L21" s="3"/>
      <c r="M21" s="3"/>
    </row>
    <row r="22" spans="1:7" ht="12.75">
      <c r="A22" s="13" t="s">
        <v>99</v>
      </c>
      <c r="F22" s="13">
        <f>+F20*F21</f>
        <v>4000</v>
      </c>
      <c r="G22" s="13">
        <f>+G20*G21</f>
        <v>3750</v>
      </c>
    </row>
    <row r="23" spans="1:7" ht="12.75">
      <c r="A23" s="13" t="s">
        <v>100</v>
      </c>
      <c r="F23" s="13">
        <f>+F8/F22</f>
        <v>250</v>
      </c>
      <c r="G23" s="13">
        <f>+G8/G22</f>
        <v>261.3333333333333</v>
      </c>
    </row>
    <row r="24" spans="1:7" ht="13.5" thickBot="1">
      <c r="A24" s="16" t="s">
        <v>59</v>
      </c>
      <c r="F24" s="16">
        <f>+F22*F23</f>
        <v>1000000</v>
      </c>
      <c r="G24" s="16">
        <f>+G22*G23</f>
        <v>979999.9999999999</v>
      </c>
    </row>
    <row r="25" ht="13.5" thickBot="1">
      <c r="A25" s="19"/>
    </row>
    <row r="26" spans="1:22" ht="12.75">
      <c r="A26" s="250" t="s">
        <v>59</v>
      </c>
      <c r="B26" s="240" t="s">
        <v>88</v>
      </c>
      <c r="C26" s="238"/>
      <c r="D26" s="238"/>
      <c r="E26" s="249"/>
      <c r="F26" s="238" t="s">
        <v>106</v>
      </c>
      <c r="G26" s="238"/>
      <c r="H26" s="238"/>
      <c r="I26" s="249"/>
      <c r="J26" s="238" t="s">
        <v>107</v>
      </c>
      <c r="K26" s="238"/>
      <c r="L26" s="238"/>
      <c r="M26" s="249"/>
      <c r="N26" s="238" t="s">
        <v>86</v>
      </c>
      <c r="O26" s="238"/>
      <c r="P26" s="238"/>
      <c r="Q26" s="249"/>
      <c r="R26" s="242" t="s">
        <v>79</v>
      </c>
      <c r="S26" s="238"/>
      <c r="T26" s="238"/>
      <c r="U26" s="241"/>
      <c r="V26" s="126"/>
    </row>
    <row r="27" spans="1:22" ht="12.75">
      <c r="A27" s="251"/>
      <c r="B27" s="59" t="s">
        <v>31</v>
      </c>
      <c r="C27" s="49" t="s">
        <v>80</v>
      </c>
      <c r="D27" s="49" t="s">
        <v>28</v>
      </c>
      <c r="E27" s="118" t="s">
        <v>102</v>
      </c>
      <c r="F27" s="49" t="s">
        <v>31</v>
      </c>
      <c r="G27" s="49" t="s">
        <v>80</v>
      </c>
      <c r="H27" s="49" t="s">
        <v>28</v>
      </c>
      <c r="I27" s="118" t="s">
        <v>102</v>
      </c>
      <c r="J27" s="49" t="s">
        <v>31</v>
      </c>
      <c r="K27" s="49" t="s">
        <v>80</v>
      </c>
      <c r="L27" s="49" t="s">
        <v>28</v>
      </c>
      <c r="M27" s="118" t="s">
        <v>102</v>
      </c>
      <c r="N27" s="49" t="s">
        <v>31</v>
      </c>
      <c r="O27" s="49" t="s">
        <v>80</v>
      </c>
      <c r="P27" s="49" t="s">
        <v>28</v>
      </c>
      <c r="Q27" s="118" t="s">
        <v>102</v>
      </c>
      <c r="R27" s="127" t="s">
        <v>108</v>
      </c>
      <c r="S27" s="49" t="s">
        <v>80</v>
      </c>
      <c r="T27" s="49" t="s">
        <v>28</v>
      </c>
      <c r="U27" s="60" t="s">
        <v>60</v>
      </c>
      <c r="V27" s="128" t="s">
        <v>4</v>
      </c>
    </row>
    <row r="28" spans="1:22" ht="12.75">
      <c r="A28" s="119" t="s">
        <v>87</v>
      </c>
      <c r="B28" s="61">
        <f>+B4</f>
        <v>3000</v>
      </c>
      <c r="C28" s="54">
        <f>+B28/B$30</f>
        <v>0.75</v>
      </c>
      <c r="D28" s="55">
        <f>+B8/B4</f>
        <v>220</v>
      </c>
      <c r="E28" s="120">
        <f>+B$30*C28*D28</f>
        <v>660000</v>
      </c>
      <c r="F28" s="15"/>
      <c r="G28" s="54">
        <f>+C28</f>
        <v>0.75</v>
      </c>
      <c r="H28" s="55">
        <f>+D28</f>
        <v>220</v>
      </c>
      <c r="I28" s="120">
        <f>+F$30*G28*H28</f>
        <v>618750</v>
      </c>
      <c r="J28" s="15"/>
      <c r="K28" s="54">
        <f>+O28</f>
        <v>0.6666666666666666</v>
      </c>
      <c r="L28" s="55">
        <f>+H28</f>
        <v>220</v>
      </c>
      <c r="M28" s="120">
        <f>+J$30*K28*L28</f>
        <v>550000</v>
      </c>
      <c r="N28" s="15">
        <f>+C4</f>
        <v>2500</v>
      </c>
      <c r="O28" s="54">
        <f>+N28/$N$30</f>
        <v>0.6666666666666666</v>
      </c>
      <c r="P28" s="55">
        <f>+C8/C4</f>
        <v>208</v>
      </c>
      <c r="Q28" s="120">
        <f>+N28*P28</f>
        <v>520000</v>
      </c>
      <c r="R28" s="129">
        <f>+I28-E28</f>
        <v>-41250</v>
      </c>
      <c r="S28" s="56">
        <f>+M28-I28</f>
        <v>-68750</v>
      </c>
      <c r="T28" s="56">
        <f>+Q28-M28</f>
        <v>-30000</v>
      </c>
      <c r="U28" s="62">
        <f>SUM(R28:T28)</f>
        <v>-140000</v>
      </c>
      <c r="V28" s="130">
        <f>+U28/E28</f>
        <v>-0.21212121212121213</v>
      </c>
    </row>
    <row r="29" spans="1:22" ht="12.75">
      <c r="A29" s="119" t="s">
        <v>103</v>
      </c>
      <c r="B29" s="61">
        <f>+D4</f>
        <v>1000</v>
      </c>
      <c r="C29" s="54">
        <f>+B29/B$30</f>
        <v>0.25</v>
      </c>
      <c r="D29" s="55">
        <f>+D8/D4</f>
        <v>340</v>
      </c>
      <c r="E29" s="120">
        <f>+B$30*C29*D29</f>
        <v>340000</v>
      </c>
      <c r="F29" s="15"/>
      <c r="G29" s="54">
        <f>+C29</f>
        <v>0.25</v>
      </c>
      <c r="H29" s="55">
        <f>+D29</f>
        <v>340</v>
      </c>
      <c r="I29" s="120">
        <f>+F$30*G29*H29</f>
        <v>318750</v>
      </c>
      <c r="J29" s="15"/>
      <c r="K29" s="54">
        <f>+O29</f>
        <v>0.3333333333333333</v>
      </c>
      <c r="L29" s="55">
        <f>+H29</f>
        <v>340</v>
      </c>
      <c r="M29" s="120">
        <f>+J$30*K29*L29</f>
        <v>425000</v>
      </c>
      <c r="N29" s="15">
        <f>+E4</f>
        <v>1250</v>
      </c>
      <c r="O29" s="54">
        <f>+N29/$N$30</f>
        <v>0.3333333333333333</v>
      </c>
      <c r="P29" s="55">
        <f>+E8/E4</f>
        <v>368</v>
      </c>
      <c r="Q29" s="120">
        <f>+N29*P29</f>
        <v>460000</v>
      </c>
      <c r="R29" s="129">
        <f>+I29-E29</f>
        <v>-21250</v>
      </c>
      <c r="S29" s="56">
        <f>+M29-I29</f>
        <v>106250</v>
      </c>
      <c r="T29" s="56">
        <f>+Q29-M29</f>
        <v>35000</v>
      </c>
      <c r="U29" s="62">
        <f>SUM(R29:T29)</f>
        <v>120000</v>
      </c>
      <c r="V29" s="130">
        <f>+U29/E29</f>
        <v>0.35294117647058826</v>
      </c>
    </row>
    <row r="30" spans="1:22" ht="13.5" thickBot="1">
      <c r="A30" s="121" t="s">
        <v>104</v>
      </c>
      <c r="B30" s="63">
        <f>SUM(B28:B29)</f>
        <v>4000</v>
      </c>
      <c r="C30" s="16"/>
      <c r="D30" s="57">
        <f>+E30/B30</f>
        <v>250</v>
      </c>
      <c r="E30" s="122">
        <f>+E28+E29</f>
        <v>1000000</v>
      </c>
      <c r="F30" s="16">
        <f>+N30</f>
        <v>3750</v>
      </c>
      <c r="G30" s="16"/>
      <c r="H30" s="57">
        <f>+I30/F30</f>
        <v>250</v>
      </c>
      <c r="I30" s="122">
        <f>+I28+I29</f>
        <v>937500</v>
      </c>
      <c r="J30" s="16">
        <f>+N30</f>
        <v>3750</v>
      </c>
      <c r="K30" s="16"/>
      <c r="L30" s="57">
        <f>+M30/J30</f>
        <v>260</v>
      </c>
      <c r="M30" s="122">
        <f>+M28+M29</f>
        <v>975000</v>
      </c>
      <c r="N30" s="16">
        <f>SUM(N28:N29)</f>
        <v>3750</v>
      </c>
      <c r="O30" s="16"/>
      <c r="P30" s="57">
        <f>+Q30/N30</f>
        <v>261.3333333333333</v>
      </c>
      <c r="Q30" s="122">
        <f>+Q28+Q29</f>
        <v>980000</v>
      </c>
      <c r="R30" s="131">
        <f>+R28+R29</f>
        <v>-62500</v>
      </c>
      <c r="S30" s="58">
        <f>+S28+S29</f>
        <v>37500</v>
      </c>
      <c r="T30" s="58">
        <f>+T28+T29</f>
        <v>5000</v>
      </c>
      <c r="U30" s="64">
        <f>+U28+U29</f>
        <v>-20000</v>
      </c>
      <c r="V30" s="132"/>
    </row>
    <row r="31" spans="1:22" ht="13.5" thickBot="1">
      <c r="A31" s="123" t="s">
        <v>79</v>
      </c>
      <c r="B31" s="124"/>
      <c r="C31" s="124"/>
      <c r="D31" s="124"/>
      <c r="E31" s="124"/>
      <c r="F31" s="124"/>
      <c r="G31" s="124"/>
      <c r="H31" s="124"/>
      <c r="I31" s="125">
        <f>+I30-E30</f>
        <v>-62500</v>
      </c>
      <c r="J31" s="124"/>
      <c r="K31" s="124"/>
      <c r="L31" s="124"/>
      <c r="M31" s="125">
        <f>+M30-I30</f>
        <v>37500</v>
      </c>
      <c r="N31" s="124"/>
      <c r="O31" s="124"/>
      <c r="P31" s="124"/>
      <c r="Q31" s="125">
        <f>+Q30-M30</f>
        <v>5000</v>
      </c>
      <c r="R31" s="133">
        <f>+R30/$E$30</f>
        <v>-0.0625</v>
      </c>
      <c r="S31" s="134">
        <f>+S30/$E$30</f>
        <v>0.0375</v>
      </c>
      <c r="T31" s="134">
        <f>+T30/$E$30</f>
        <v>0.005</v>
      </c>
      <c r="U31" s="134">
        <f>+U30/$E$30</f>
        <v>-0.02</v>
      </c>
      <c r="V31" s="125"/>
    </row>
    <row r="32" spans="1:21" ht="13.5" thickBot="1">
      <c r="A32" s="9"/>
      <c r="R32" s="3"/>
      <c r="S32" s="3"/>
      <c r="T32" s="3"/>
      <c r="U32" s="3"/>
    </row>
    <row r="33" spans="1:21" ht="12.75">
      <c r="A33" s="252" t="s">
        <v>101</v>
      </c>
      <c r="B33" s="243" t="s">
        <v>88</v>
      </c>
      <c r="C33" s="245" t="s">
        <v>111</v>
      </c>
      <c r="D33" s="247" t="s">
        <v>105</v>
      </c>
      <c r="E33" s="235" t="s">
        <v>109</v>
      </c>
      <c r="F33" s="236"/>
      <c r="G33" s="237"/>
      <c r="R33" s="3"/>
      <c r="S33" s="3"/>
      <c r="T33" s="3"/>
      <c r="U33" s="3"/>
    </row>
    <row r="34" spans="1:7" ht="25.5">
      <c r="A34" s="253"/>
      <c r="B34" s="244"/>
      <c r="C34" s="246"/>
      <c r="D34" s="248"/>
      <c r="E34" s="76" t="s">
        <v>110</v>
      </c>
      <c r="F34" s="70" t="s">
        <v>96</v>
      </c>
      <c r="G34" s="77" t="s">
        <v>60</v>
      </c>
    </row>
    <row r="35" spans="1:7" ht="12.75">
      <c r="A35" s="65" t="s">
        <v>98</v>
      </c>
      <c r="B35" s="61">
        <f>+F20</f>
        <v>33333.333333333336</v>
      </c>
      <c r="C35" s="15">
        <f>+D35</f>
        <v>25000</v>
      </c>
      <c r="D35" s="71">
        <f>+G20</f>
        <v>25000</v>
      </c>
      <c r="E35" s="61"/>
      <c r="F35" s="15"/>
      <c r="G35" s="71"/>
    </row>
    <row r="36" spans="1:7" ht="12.75">
      <c r="A36" s="65" t="s">
        <v>96</v>
      </c>
      <c r="B36" s="72">
        <f>+F21</f>
        <v>0.12</v>
      </c>
      <c r="C36" s="54">
        <f>+B36</f>
        <v>0.12</v>
      </c>
      <c r="D36" s="73">
        <f>+G21</f>
        <v>0.15</v>
      </c>
      <c r="E36" s="72"/>
      <c r="F36" s="15"/>
      <c r="G36" s="71"/>
    </row>
    <row r="37" spans="1:7" ht="12.75">
      <c r="A37" s="78" t="s">
        <v>99</v>
      </c>
      <c r="B37" s="74">
        <f>+B35*B36</f>
        <v>4000</v>
      </c>
      <c r="C37" s="13">
        <f>+C35*C36</f>
        <v>3000</v>
      </c>
      <c r="D37" s="51">
        <f>+D35*D36</f>
        <v>3750</v>
      </c>
      <c r="E37" s="74"/>
      <c r="F37" s="13"/>
      <c r="G37" s="51"/>
    </row>
    <row r="38" spans="1:7" ht="12.75">
      <c r="A38" s="78" t="s">
        <v>100</v>
      </c>
      <c r="B38" s="74">
        <f>+F23</f>
        <v>250</v>
      </c>
      <c r="C38" s="13">
        <f>+B38</f>
        <v>250</v>
      </c>
      <c r="D38" s="51">
        <f>+B38</f>
        <v>250</v>
      </c>
      <c r="E38" s="74"/>
      <c r="F38" s="13"/>
      <c r="G38" s="51"/>
    </row>
    <row r="39" spans="1:7" ht="13.5" thickBot="1">
      <c r="A39" s="66" t="s">
        <v>59</v>
      </c>
      <c r="B39" s="63">
        <f>+B37*B38</f>
        <v>1000000</v>
      </c>
      <c r="C39" s="16">
        <f>+C37*C38</f>
        <v>750000</v>
      </c>
      <c r="D39" s="75">
        <f>+D37*D38</f>
        <v>937500</v>
      </c>
      <c r="E39" s="63">
        <f>+C39-B39</f>
        <v>-250000</v>
      </c>
      <c r="F39" s="16">
        <f>+D39-C39</f>
        <v>187500</v>
      </c>
      <c r="G39" s="75">
        <f>+E39+F39</f>
        <v>-62500</v>
      </c>
    </row>
    <row r="40" ht="12.75">
      <c r="A40" s="9"/>
    </row>
    <row r="41" ht="13.5" thickBot="1">
      <c r="A41" s="9"/>
    </row>
    <row r="42" spans="1:25" ht="13.5" thickBot="1">
      <c r="A42" s="14"/>
      <c r="B42" s="238" t="s">
        <v>87</v>
      </c>
      <c r="C42" s="238"/>
      <c r="D42" s="238"/>
      <c r="E42" s="238"/>
      <c r="F42" s="240" t="s">
        <v>89</v>
      </c>
      <c r="G42" s="238"/>
      <c r="H42" s="238"/>
      <c r="I42" s="241"/>
      <c r="J42" s="235" t="s">
        <v>60</v>
      </c>
      <c r="K42" s="236"/>
      <c r="L42" s="236"/>
      <c r="M42" s="236"/>
      <c r="N42" s="235" t="s">
        <v>114</v>
      </c>
      <c r="O42" s="236"/>
      <c r="P42" s="236"/>
      <c r="Q42" s="237"/>
      <c r="R42" s="236" t="s">
        <v>115</v>
      </c>
      <c r="S42" s="236"/>
      <c r="T42" s="236"/>
      <c r="U42" s="236"/>
      <c r="V42" s="235" t="s">
        <v>117</v>
      </c>
      <c r="W42" s="236"/>
      <c r="X42" s="236"/>
      <c r="Y42" s="237"/>
    </row>
    <row r="43" spans="1:25" ht="25.5">
      <c r="A43" s="83"/>
      <c r="B43" s="81" t="s">
        <v>88</v>
      </c>
      <c r="C43" s="81" t="s">
        <v>113</v>
      </c>
      <c r="D43" s="81" t="s">
        <v>116</v>
      </c>
      <c r="E43" s="81" t="s">
        <v>86</v>
      </c>
      <c r="F43" s="89" t="s">
        <v>88</v>
      </c>
      <c r="G43" s="81" t="s">
        <v>113</v>
      </c>
      <c r="H43" s="81" t="s">
        <v>116</v>
      </c>
      <c r="I43" s="90" t="s">
        <v>86</v>
      </c>
      <c r="J43" s="81" t="str">
        <f>+B43</f>
        <v>Orçamento</v>
      </c>
      <c r="K43" s="81" t="str">
        <f>+C43</f>
        <v>Ajustado volume</v>
      </c>
      <c r="L43" s="81" t="str">
        <f>+D43</f>
        <v>Ajustado ao mix</v>
      </c>
      <c r="M43" s="81" t="s">
        <v>86</v>
      </c>
      <c r="N43" s="89" t="s">
        <v>108</v>
      </c>
      <c r="O43" s="81" t="s">
        <v>80</v>
      </c>
      <c r="P43" s="81" t="s">
        <v>28</v>
      </c>
      <c r="Q43" s="90" t="s">
        <v>60</v>
      </c>
      <c r="R43" s="81" t="s">
        <v>108</v>
      </c>
      <c r="S43" s="81" t="s">
        <v>80</v>
      </c>
      <c r="T43" s="81" t="s">
        <v>28</v>
      </c>
      <c r="U43" s="81" t="s">
        <v>60</v>
      </c>
      <c r="V43" s="89" t="s">
        <v>108</v>
      </c>
      <c r="W43" s="81" t="s">
        <v>80</v>
      </c>
      <c r="X43" s="81" t="s">
        <v>28</v>
      </c>
      <c r="Y43" s="90" t="s">
        <v>60</v>
      </c>
    </row>
    <row r="44" spans="1:25" ht="12.75">
      <c r="A44" s="84" t="s">
        <v>97</v>
      </c>
      <c r="B44" s="13">
        <v>3000</v>
      </c>
      <c r="C44" s="13">
        <f>+C45*M44</f>
        <v>2812.5</v>
      </c>
      <c r="D44" s="13">
        <f>+D45*M44</f>
        <v>2500</v>
      </c>
      <c r="E44" s="13">
        <v>2500</v>
      </c>
      <c r="F44" s="74">
        <f>+F45*F4</f>
        <v>1000</v>
      </c>
      <c r="G44" s="13">
        <f>+G45*G4</f>
        <v>937.5</v>
      </c>
      <c r="H44" s="13">
        <f>+H45*G4</f>
        <v>1250</v>
      </c>
      <c r="I44" s="51">
        <v>1250</v>
      </c>
      <c r="J44" s="47">
        <f>+B44+F44</f>
        <v>4000</v>
      </c>
      <c r="K44" s="47">
        <f>+C44+G44</f>
        <v>3750</v>
      </c>
      <c r="L44" s="47">
        <f>+D44+H44</f>
        <v>3750</v>
      </c>
      <c r="M44" s="47">
        <f>+E44+I44</f>
        <v>3750</v>
      </c>
      <c r="N44" s="95"/>
      <c r="O44" s="47"/>
      <c r="P44" s="47"/>
      <c r="Q44" s="50"/>
      <c r="R44" s="47"/>
      <c r="S44" s="47"/>
      <c r="T44" s="47"/>
      <c r="U44" s="47"/>
      <c r="V44" s="95"/>
      <c r="W44" s="47"/>
      <c r="X44" s="47"/>
      <c r="Y44" s="50"/>
    </row>
    <row r="45" spans="1:27" ht="12.75">
      <c r="A45" s="85" t="s">
        <v>80</v>
      </c>
      <c r="B45" s="54">
        <f>+B5</f>
        <v>0.75</v>
      </c>
      <c r="C45" s="54">
        <f>+B5</f>
        <v>0.75</v>
      </c>
      <c r="D45" s="54">
        <f>+C5</f>
        <v>0.6666666666666666</v>
      </c>
      <c r="E45" s="54">
        <f>+D45</f>
        <v>0.6666666666666666</v>
      </c>
      <c r="F45" s="72">
        <f>+D5</f>
        <v>0.25</v>
      </c>
      <c r="G45" s="54">
        <f>+F45</f>
        <v>0.25</v>
      </c>
      <c r="H45" s="54">
        <f>+E5</f>
        <v>0.3333333333333333</v>
      </c>
      <c r="I45" s="73">
        <f>+H45</f>
        <v>0.3333333333333333</v>
      </c>
      <c r="J45" s="15"/>
      <c r="K45" s="15"/>
      <c r="L45" s="15"/>
      <c r="M45" s="15"/>
      <c r="N45" s="61"/>
      <c r="O45" s="15"/>
      <c r="P45" s="15"/>
      <c r="Q45" s="71"/>
      <c r="R45" s="15"/>
      <c r="S45" s="15"/>
      <c r="T45" s="15"/>
      <c r="U45" s="15"/>
      <c r="V45" s="61"/>
      <c r="W45" s="15"/>
      <c r="X45" s="15"/>
      <c r="Y45" s="71"/>
      <c r="Z45" s="7"/>
      <c r="AA45" s="7"/>
    </row>
    <row r="46" spans="1:27" ht="13.5" thickBot="1">
      <c r="A46" s="86" t="s">
        <v>28</v>
      </c>
      <c r="B46" s="57">
        <f>+B8/B4</f>
        <v>220</v>
      </c>
      <c r="C46" s="57">
        <f>+B46</f>
        <v>220</v>
      </c>
      <c r="D46" s="57">
        <f>+C46</f>
        <v>220</v>
      </c>
      <c r="E46" s="57">
        <f>+C8/C4</f>
        <v>208</v>
      </c>
      <c r="F46" s="91">
        <f>+D8/D4</f>
        <v>340</v>
      </c>
      <c r="G46" s="57">
        <f>+F46</f>
        <v>340</v>
      </c>
      <c r="H46" s="57">
        <f>+G46</f>
        <v>340</v>
      </c>
      <c r="I46" s="92">
        <f>+E8/E4</f>
        <v>368</v>
      </c>
      <c r="J46" s="55"/>
      <c r="K46" s="55"/>
      <c r="L46" s="55"/>
      <c r="M46" s="15"/>
      <c r="N46" s="61"/>
      <c r="O46" s="15"/>
      <c r="P46" s="15"/>
      <c r="Q46" s="71"/>
      <c r="R46" s="15"/>
      <c r="S46" s="15"/>
      <c r="T46" s="15"/>
      <c r="U46" s="15"/>
      <c r="V46" s="61"/>
      <c r="W46" s="15"/>
      <c r="X46" s="15"/>
      <c r="Y46" s="71"/>
      <c r="Z46" s="7"/>
      <c r="AA46" s="7"/>
    </row>
    <row r="47" spans="1:25" ht="12.75">
      <c r="A47" s="87" t="s">
        <v>90</v>
      </c>
      <c r="B47" s="15"/>
      <c r="C47" s="82"/>
      <c r="D47" s="82"/>
      <c r="E47" s="82"/>
      <c r="F47" s="93"/>
      <c r="G47" s="82"/>
      <c r="H47" s="82"/>
      <c r="I47" s="94"/>
      <c r="J47" s="82"/>
      <c r="K47" s="82"/>
      <c r="L47" s="82"/>
      <c r="M47" s="82"/>
      <c r="N47" s="61"/>
      <c r="O47" s="15"/>
      <c r="P47" s="15"/>
      <c r="Q47" s="71"/>
      <c r="R47" s="15"/>
      <c r="S47" s="15"/>
      <c r="T47" s="15"/>
      <c r="U47" s="15"/>
      <c r="V47" s="61"/>
      <c r="W47" s="15"/>
      <c r="X47" s="15"/>
      <c r="Y47" s="71"/>
    </row>
    <row r="48" spans="1:25" ht="12.75">
      <c r="A48" s="84" t="s">
        <v>59</v>
      </c>
      <c r="B48" s="13">
        <f>+B44*B46</f>
        <v>660000</v>
      </c>
      <c r="C48" s="13">
        <f aca="true" t="shared" si="5" ref="C48:I48">+C44*C46</f>
        <v>618750</v>
      </c>
      <c r="D48" s="13">
        <f>+D44*D46</f>
        <v>550000</v>
      </c>
      <c r="E48" s="13">
        <f t="shared" si="5"/>
        <v>520000</v>
      </c>
      <c r="F48" s="74">
        <f t="shared" si="5"/>
        <v>340000</v>
      </c>
      <c r="G48" s="13">
        <f t="shared" si="5"/>
        <v>318750</v>
      </c>
      <c r="H48" s="13">
        <f t="shared" si="5"/>
        <v>425000</v>
      </c>
      <c r="I48" s="51">
        <f t="shared" si="5"/>
        <v>460000</v>
      </c>
      <c r="J48" s="13">
        <f>+B48+F48</f>
        <v>1000000</v>
      </c>
      <c r="K48" s="13">
        <f aca="true" t="shared" si="6" ref="K48:L52">+C48+G48</f>
        <v>937500</v>
      </c>
      <c r="L48" s="13">
        <f t="shared" si="6"/>
        <v>975000</v>
      </c>
      <c r="M48" s="13">
        <f>+E48+I48</f>
        <v>980000</v>
      </c>
      <c r="N48" s="74">
        <f aca="true" t="shared" si="7" ref="N48:P51">+C48-B48</f>
        <v>-41250</v>
      </c>
      <c r="O48" s="13">
        <f t="shared" si="7"/>
        <v>-68750</v>
      </c>
      <c r="P48" s="13">
        <f t="shared" si="7"/>
        <v>-30000</v>
      </c>
      <c r="Q48" s="51">
        <f>SUM(N48:P48)</f>
        <v>-140000</v>
      </c>
      <c r="R48" s="13">
        <f aca="true" t="shared" si="8" ref="R48:T51">+G48-F48</f>
        <v>-21250</v>
      </c>
      <c r="S48" s="13">
        <f t="shared" si="8"/>
        <v>106250</v>
      </c>
      <c r="T48" s="13">
        <f t="shared" si="8"/>
        <v>35000</v>
      </c>
      <c r="U48" s="13">
        <f>SUM(R48:T48)</f>
        <v>120000</v>
      </c>
      <c r="V48" s="74">
        <f aca="true" t="shared" si="9" ref="V48:W52">+N48+R48</f>
        <v>-62500</v>
      </c>
      <c r="W48" s="13">
        <f t="shared" si="9"/>
        <v>37500</v>
      </c>
      <c r="X48" s="13">
        <f>+P48+T48</f>
        <v>5000</v>
      </c>
      <c r="Y48" s="51">
        <f>SUM(V48:X48)</f>
        <v>-20000</v>
      </c>
    </row>
    <row r="49" spans="1:25" ht="12.75">
      <c r="A49" s="84" t="s">
        <v>91</v>
      </c>
      <c r="B49" s="13">
        <f>+B9</f>
        <v>147000</v>
      </c>
      <c r="C49" s="13">
        <f aca="true" t="shared" si="10" ref="C49:D51">+$B49/$B$44*C$44</f>
        <v>137812.5</v>
      </c>
      <c r="D49" s="13">
        <f t="shared" si="10"/>
        <v>122500</v>
      </c>
      <c r="E49" s="13">
        <v>120000</v>
      </c>
      <c r="F49" s="74">
        <v>131000</v>
      </c>
      <c r="G49" s="13">
        <f aca="true" t="shared" si="11" ref="G49:H51">+$F49/$F$44*G$44</f>
        <v>122812.5</v>
      </c>
      <c r="H49" s="13">
        <f t="shared" si="11"/>
        <v>163750</v>
      </c>
      <c r="I49" s="51">
        <v>160000</v>
      </c>
      <c r="J49" s="13">
        <f>+B49+F49</f>
        <v>278000</v>
      </c>
      <c r="K49" s="13">
        <f t="shared" si="6"/>
        <v>260625</v>
      </c>
      <c r="L49" s="13">
        <f t="shared" si="6"/>
        <v>286250</v>
      </c>
      <c r="M49" s="13">
        <f>+E49+I49</f>
        <v>280000</v>
      </c>
      <c r="N49" s="74">
        <f t="shared" si="7"/>
        <v>-9187.5</v>
      </c>
      <c r="O49" s="13">
        <f t="shared" si="7"/>
        <v>-15312.5</v>
      </c>
      <c r="P49" s="13">
        <f t="shared" si="7"/>
        <v>-2500</v>
      </c>
      <c r="Q49" s="51">
        <f>SUM(N49:P49)</f>
        <v>-27000</v>
      </c>
      <c r="R49" s="13">
        <f t="shared" si="8"/>
        <v>-8187.5</v>
      </c>
      <c r="S49" s="13">
        <f t="shared" si="8"/>
        <v>40937.5</v>
      </c>
      <c r="T49" s="13">
        <f t="shared" si="8"/>
        <v>-3750</v>
      </c>
      <c r="U49" s="13">
        <f>SUM(R49:T49)</f>
        <v>29000</v>
      </c>
      <c r="V49" s="74">
        <f t="shared" si="9"/>
        <v>-17375</v>
      </c>
      <c r="W49" s="13">
        <f t="shared" si="9"/>
        <v>25625</v>
      </c>
      <c r="X49" s="13">
        <f>+P49+T49</f>
        <v>-6250</v>
      </c>
      <c r="Y49" s="51">
        <f aca="true" t="shared" si="12" ref="Y49:Y54">SUM(V49:X49)</f>
        <v>2000</v>
      </c>
    </row>
    <row r="50" spans="1:25" ht="12.75">
      <c r="A50" s="84" t="s">
        <v>67</v>
      </c>
      <c r="B50" s="13">
        <f>+B10</f>
        <v>108000</v>
      </c>
      <c r="C50" s="13">
        <f t="shared" si="10"/>
        <v>101250</v>
      </c>
      <c r="D50" s="13">
        <f t="shared" si="10"/>
        <v>90000</v>
      </c>
      <c r="E50" s="13">
        <v>105000</v>
      </c>
      <c r="F50" s="74">
        <v>84000</v>
      </c>
      <c r="G50" s="13">
        <f t="shared" si="11"/>
        <v>78750</v>
      </c>
      <c r="H50" s="13">
        <f t="shared" si="11"/>
        <v>105000</v>
      </c>
      <c r="I50" s="51">
        <v>85000</v>
      </c>
      <c r="J50" s="13">
        <f>+B50+F50</f>
        <v>192000</v>
      </c>
      <c r="K50" s="13">
        <f t="shared" si="6"/>
        <v>180000</v>
      </c>
      <c r="L50" s="13">
        <f t="shared" si="6"/>
        <v>195000</v>
      </c>
      <c r="M50" s="13">
        <f>+E50+I50</f>
        <v>190000</v>
      </c>
      <c r="N50" s="74">
        <f t="shared" si="7"/>
        <v>-6750</v>
      </c>
      <c r="O50" s="13">
        <f t="shared" si="7"/>
        <v>-11250</v>
      </c>
      <c r="P50" s="13">
        <f t="shared" si="7"/>
        <v>15000</v>
      </c>
      <c r="Q50" s="51">
        <f>SUM(N50:P50)</f>
        <v>-3000</v>
      </c>
      <c r="R50" s="13">
        <f t="shared" si="8"/>
        <v>-5250</v>
      </c>
      <c r="S50" s="13">
        <f t="shared" si="8"/>
        <v>26250</v>
      </c>
      <c r="T50" s="13">
        <f t="shared" si="8"/>
        <v>-20000</v>
      </c>
      <c r="U50" s="13">
        <f>SUM(R50:T50)</f>
        <v>1000</v>
      </c>
      <c r="V50" s="74">
        <f t="shared" si="9"/>
        <v>-12000</v>
      </c>
      <c r="W50" s="13">
        <f t="shared" si="9"/>
        <v>15000</v>
      </c>
      <c r="X50" s="13">
        <f>+P50+T50</f>
        <v>-5000</v>
      </c>
      <c r="Y50" s="51">
        <f t="shared" si="12"/>
        <v>-2000</v>
      </c>
    </row>
    <row r="51" spans="1:25" ht="12.75">
      <c r="A51" s="84" t="s">
        <v>93</v>
      </c>
      <c r="B51" s="13">
        <f>+B11</f>
        <v>33000</v>
      </c>
      <c r="C51" s="13">
        <f t="shared" si="10"/>
        <v>30937.5</v>
      </c>
      <c r="D51" s="13">
        <f t="shared" si="10"/>
        <v>27500</v>
      </c>
      <c r="E51" s="13">
        <v>26000</v>
      </c>
      <c r="F51" s="74">
        <v>17000</v>
      </c>
      <c r="G51" s="13">
        <f t="shared" si="11"/>
        <v>15937.5</v>
      </c>
      <c r="H51" s="13">
        <f t="shared" si="11"/>
        <v>21250</v>
      </c>
      <c r="I51" s="51">
        <v>23000</v>
      </c>
      <c r="J51" s="13">
        <f>+B51+F51</f>
        <v>50000</v>
      </c>
      <c r="K51" s="13">
        <f t="shared" si="6"/>
        <v>46875</v>
      </c>
      <c r="L51" s="13">
        <f t="shared" si="6"/>
        <v>48750</v>
      </c>
      <c r="M51" s="13">
        <f>+E51+I51</f>
        <v>49000</v>
      </c>
      <c r="N51" s="74">
        <f t="shared" si="7"/>
        <v>-2062.5</v>
      </c>
      <c r="O51" s="13">
        <f t="shared" si="7"/>
        <v>-3437.5</v>
      </c>
      <c r="P51" s="13">
        <f t="shared" si="7"/>
        <v>-1500</v>
      </c>
      <c r="Q51" s="51">
        <f>SUM(N51:P51)</f>
        <v>-7000</v>
      </c>
      <c r="R51" s="13">
        <f t="shared" si="8"/>
        <v>-1062.5</v>
      </c>
      <c r="S51" s="13">
        <f t="shared" si="8"/>
        <v>5312.5</v>
      </c>
      <c r="T51" s="13">
        <f t="shared" si="8"/>
        <v>1750</v>
      </c>
      <c r="U51" s="13">
        <f>SUM(R51:T51)</f>
        <v>6000</v>
      </c>
      <c r="V51" s="74">
        <f t="shared" si="9"/>
        <v>-3125</v>
      </c>
      <c r="W51" s="13">
        <f t="shared" si="9"/>
        <v>1875</v>
      </c>
      <c r="X51" s="13">
        <f>+P51+T51</f>
        <v>250</v>
      </c>
      <c r="Y51" s="51">
        <f t="shared" si="12"/>
        <v>-1000</v>
      </c>
    </row>
    <row r="52" spans="1:25" ht="12.75">
      <c r="A52" s="84" t="s">
        <v>92</v>
      </c>
      <c r="B52" s="13">
        <f>+B12</f>
        <v>162000</v>
      </c>
      <c r="C52" s="13">
        <f>+B52</f>
        <v>162000</v>
      </c>
      <c r="D52" s="13">
        <f>+C52</f>
        <v>162000</v>
      </c>
      <c r="E52" s="13">
        <v>166000</v>
      </c>
      <c r="F52" s="74">
        <v>79000</v>
      </c>
      <c r="G52" s="13">
        <f>+F52</f>
        <v>79000</v>
      </c>
      <c r="H52" s="13">
        <f>+G52</f>
        <v>79000</v>
      </c>
      <c r="I52" s="51">
        <v>83000</v>
      </c>
      <c r="J52" s="13">
        <f>+B52+F52</f>
        <v>241000</v>
      </c>
      <c r="K52" s="13">
        <f t="shared" si="6"/>
        <v>241000</v>
      </c>
      <c r="L52" s="13">
        <f t="shared" si="6"/>
        <v>241000</v>
      </c>
      <c r="M52" s="13">
        <f>+E52+I52</f>
        <v>249000</v>
      </c>
      <c r="N52" s="74"/>
      <c r="O52" s="13"/>
      <c r="P52" s="13">
        <f>+E52-D52</f>
        <v>4000</v>
      </c>
      <c r="Q52" s="51">
        <f>SUM(N52:P52)</f>
        <v>4000</v>
      </c>
      <c r="R52" s="13"/>
      <c r="S52" s="13"/>
      <c r="T52" s="13">
        <f>+I52-H52</f>
        <v>4000</v>
      </c>
      <c r="U52" s="13">
        <f>SUM(R52:T52)</f>
        <v>4000</v>
      </c>
      <c r="V52" s="74">
        <f t="shared" si="9"/>
        <v>0</v>
      </c>
      <c r="W52" s="13">
        <f t="shared" si="9"/>
        <v>0</v>
      </c>
      <c r="X52" s="13">
        <f>+P52+T52</f>
        <v>8000</v>
      </c>
      <c r="Y52" s="51">
        <f t="shared" si="12"/>
        <v>8000</v>
      </c>
    </row>
    <row r="53" spans="1:25" ht="12.75">
      <c r="A53" s="84" t="s">
        <v>95</v>
      </c>
      <c r="B53" s="13">
        <f aca="true" t="shared" si="13" ref="B53:Y53">+B48-SUM(B49:B52)</f>
        <v>210000</v>
      </c>
      <c r="C53" s="13">
        <f t="shared" si="13"/>
        <v>186750</v>
      </c>
      <c r="D53" s="13">
        <f t="shared" si="13"/>
        <v>148000</v>
      </c>
      <c r="E53" s="13">
        <f t="shared" si="13"/>
        <v>103000</v>
      </c>
      <c r="F53" s="74">
        <f t="shared" si="13"/>
        <v>29000</v>
      </c>
      <c r="G53" s="13">
        <f t="shared" si="13"/>
        <v>22250</v>
      </c>
      <c r="H53" s="13">
        <f t="shared" si="13"/>
        <v>56000</v>
      </c>
      <c r="I53" s="51">
        <f t="shared" si="13"/>
        <v>109000</v>
      </c>
      <c r="J53" s="13">
        <f t="shared" si="13"/>
        <v>239000</v>
      </c>
      <c r="K53" s="13">
        <f t="shared" si="13"/>
        <v>209000</v>
      </c>
      <c r="L53" s="13">
        <f t="shared" si="13"/>
        <v>204000</v>
      </c>
      <c r="M53" s="13">
        <f t="shared" si="13"/>
        <v>212000</v>
      </c>
      <c r="N53" s="74">
        <f t="shared" si="13"/>
        <v>-23250</v>
      </c>
      <c r="O53" s="13">
        <f t="shared" si="13"/>
        <v>-38750</v>
      </c>
      <c r="P53" s="13">
        <f t="shared" si="13"/>
        <v>-45000</v>
      </c>
      <c r="Q53" s="51">
        <f t="shared" si="13"/>
        <v>-107000</v>
      </c>
      <c r="R53" s="13">
        <f t="shared" si="13"/>
        <v>-6750</v>
      </c>
      <c r="S53" s="13">
        <f t="shared" si="13"/>
        <v>33750</v>
      </c>
      <c r="T53" s="13">
        <f t="shared" si="13"/>
        <v>53000</v>
      </c>
      <c r="U53" s="13">
        <f t="shared" si="13"/>
        <v>80000</v>
      </c>
      <c r="V53" s="74">
        <f t="shared" si="13"/>
        <v>-30000</v>
      </c>
      <c r="W53" s="13">
        <f t="shared" si="13"/>
        <v>-5000</v>
      </c>
      <c r="X53" s="13">
        <f t="shared" si="13"/>
        <v>8000</v>
      </c>
      <c r="Y53" s="51">
        <f t="shared" si="13"/>
        <v>-27000</v>
      </c>
    </row>
    <row r="54" spans="1:25" ht="12.75">
      <c r="A54" s="84" t="s">
        <v>94</v>
      </c>
      <c r="B54" s="13"/>
      <c r="C54" s="13"/>
      <c r="D54" s="13"/>
      <c r="E54" s="13"/>
      <c r="F54" s="74"/>
      <c r="G54" s="13"/>
      <c r="H54" s="13"/>
      <c r="I54" s="51"/>
      <c r="J54" s="13">
        <v>128000</v>
      </c>
      <c r="K54" s="13">
        <v>128000</v>
      </c>
      <c r="L54" s="13">
        <v>128000</v>
      </c>
      <c r="M54" s="13">
        <v>133000</v>
      </c>
      <c r="N54" s="74"/>
      <c r="O54" s="13"/>
      <c r="P54" s="13"/>
      <c r="Q54" s="51"/>
      <c r="R54" s="13"/>
      <c r="S54" s="13"/>
      <c r="T54" s="13"/>
      <c r="U54" s="13"/>
      <c r="V54" s="74"/>
      <c r="W54" s="13"/>
      <c r="X54" s="13">
        <f>+M54-J54</f>
        <v>5000</v>
      </c>
      <c r="Y54" s="51">
        <f t="shared" si="12"/>
        <v>5000</v>
      </c>
    </row>
    <row r="55" spans="1:25" ht="13.5" thickBot="1">
      <c r="A55" s="88" t="s">
        <v>61</v>
      </c>
      <c r="B55" s="16"/>
      <c r="C55" s="16"/>
      <c r="D55" s="16"/>
      <c r="E55" s="16"/>
      <c r="F55" s="63"/>
      <c r="G55" s="16"/>
      <c r="H55" s="16"/>
      <c r="I55" s="75"/>
      <c r="J55" s="16">
        <f>+J53-J54</f>
        <v>111000</v>
      </c>
      <c r="K55" s="16">
        <f>+K53-K54</f>
        <v>81000</v>
      </c>
      <c r="L55" s="16">
        <f>+L53-L54</f>
        <v>76000</v>
      </c>
      <c r="M55" s="16">
        <f>+M53-M54</f>
        <v>79000</v>
      </c>
      <c r="N55" s="63"/>
      <c r="O55" s="16"/>
      <c r="P55" s="16"/>
      <c r="Q55" s="75"/>
      <c r="R55" s="16"/>
      <c r="S55" s="16"/>
      <c r="T55" s="16"/>
      <c r="U55" s="16"/>
      <c r="V55" s="63"/>
      <c r="W55" s="16"/>
      <c r="X55" s="16"/>
      <c r="Y55" s="75">
        <f>+Y53-Y54</f>
        <v>-32000</v>
      </c>
    </row>
  </sheetData>
  <sheetProtection/>
  <mergeCells count="20">
    <mergeCell ref="A26:A27"/>
    <mergeCell ref="A33:A34"/>
    <mergeCell ref="N26:Q26"/>
    <mergeCell ref="F26:I26"/>
    <mergeCell ref="V42:Y42"/>
    <mergeCell ref="R26:U26"/>
    <mergeCell ref="B2:C2"/>
    <mergeCell ref="D2:E2"/>
    <mergeCell ref="B33:B34"/>
    <mergeCell ref="C33:C34"/>
    <mergeCell ref="D33:D34"/>
    <mergeCell ref="E33:G33"/>
    <mergeCell ref="B26:E26"/>
    <mergeCell ref="J26:M26"/>
    <mergeCell ref="N42:Q42"/>
    <mergeCell ref="H2:H3"/>
    <mergeCell ref="B42:E42"/>
    <mergeCell ref="F42:I42"/>
    <mergeCell ref="J42:M42"/>
    <mergeCell ref="R42:U42"/>
  </mergeCells>
  <printOptions/>
  <pageMargins left="0.75" right="0.75" top="1" bottom="1" header="0.5" footer="0.5"/>
  <pageSetup orientation="landscape" paperSize="9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JCN</dc:creator>
  <cp:keywords/>
  <dc:description/>
  <cp:lastModifiedBy>docente</cp:lastModifiedBy>
  <cp:lastPrinted>2007-09-18T15:01:33Z</cp:lastPrinted>
  <dcterms:created xsi:type="dcterms:W3CDTF">2004-10-12T18:47:14Z</dcterms:created>
  <dcterms:modified xsi:type="dcterms:W3CDTF">2011-04-12T13:19:44Z</dcterms:modified>
  <cp:category/>
  <cp:version/>
  <cp:contentType/>
  <cp:contentStatus/>
</cp:coreProperties>
</file>